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wb.arts.wales/sites/artsdev/APW/Evaluation/2022_23_APW_Survey/Templates/"/>
    </mc:Choice>
  </mc:AlternateContent>
  <xr:revisionPtr revIDLastSave="0" documentId="13_ncr:1_{7603B2A7-04C2-4E07-9950-5D22A8EE984A}" xr6:coauthVersionLast="47" xr6:coauthVersionMax="47" xr10:uidLastSave="{00000000-0000-0000-0000-000000000000}"/>
  <bookViews>
    <workbookView xWindow="-110" yWindow="-110" windowWidth="19420" windowHeight="10420" tabRatio="866" xr2:uid="{00000000-000D-0000-FFFF-FFFF00000000}"/>
  </bookViews>
  <sheets>
    <sheet name="Adrodd" sheetId="28" r:id="rId1"/>
    <sheet name="Cyflwyniad" sheetId="21" r:id="rId2"/>
    <sheet name="Diffiniad Cyffredinol" sheetId="23" r:id="rId3"/>
    <sheet name="Effaith firws corona" sheetId="17" r:id="rId4"/>
    <sheet name="Arddangosfeydd" sheetId="1" r:id="rId5"/>
    <sheet name="CH&amp;YP Gweithgaredd" sheetId="2" r:id="rId6"/>
    <sheet name="Ymgyfranogi Cyffredinol" sheetId="5" r:id="rId7"/>
    <sheet name="PerfformioTeithio" sheetId="3" r:id="rId8"/>
    <sheet name="Darllediadau ac Ar-lein" sheetId="7" r:id="rId9"/>
    <sheet name="Ffilm" sheetId="6" r:id="rId10"/>
    <sheet name="Gwefan&amp;Chyfryngau Cymdeithasol" sheetId="8" r:id="rId11"/>
    <sheet name="Lleoliadau Cyflwyno" sheetId="9" r:id="rId12"/>
    <sheet name="Hyfforddiant &amp; Gweithdai" sheetId="10" r:id="rId13"/>
    <sheet name="Tenantiaid&amp;Preswyliaeth Artist" sheetId="11" r:id="rId14"/>
    <sheet name="Sgwrsiau&amp;Sesiynau holi ac ateb" sheetId="14" r:id="rId15"/>
    <sheet name="Perfformiad amgylcheddol" sheetId="15" r:id="rId16"/>
    <sheet name="Ref." sheetId="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6" i="28" l="1"/>
  <c r="C455" i="28"/>
  <c r="C454" i="28"/>
  <c r="C453" i="28"/>
  <c r="C450" i="28"/>
  <c r="C449" i="28"/>
  <c r="C448" i="28"/>
  <c r="C452" i="28"/>
  <c r="C451" i="28"/>
  <c r="C447" i="28"/>
  <c r="C839" i="28" l="1"/>
  <c r="C838" i="28"/>
  <c r="C837" i="28"/>
  <c r="C836" i="28"/>
  <c r="C835" i="28"/>
  <c r="C834" i="28"/>
  <c r="C833" i="28"/>
  <c r="C832" i="28"/>
  <c r="C831" i="28"/>
  <c r="C830" i="28"/>
  <c r="C829" i="28"/>
  <c r="C828" i="28"/>
  <c r="C827" i="28"/>
  <c r="C826" i="28"/>
  <c r="C825" i="28"/>
  <c r="C824" i="28"/>
  <c r="C823" i="28"/>
  <c r="C822" i="28"/>
  <c r="C821" i="28"/>
  <c r="C820" i="28"/>
  <c r="C819" i="28"/>
  <c r="C818" i="28"/>
  <c r="C817" i="28"/>
  <c r="C816" i="28"/>
  <c r="C815" i="28"/>
  <c r="C577" i="28" l="1"/>
  <c r="C576" i="28"/>
  <c r="C575" i="28"/>
  <c r="C574" i="28"/>
  <c r="C573" i="28"/>
  <c r="C572" i="28"/>
  <c r="C571" i="28"/>
  <c r="C570" i="28"/>
  <c r="M570" i="28" s="1"/>
  <c r="L570" i="28" s="1"/>
  <c r="D570" i="28" s="1"/>
  <c r="C569" i="28"/>
  <c r="C568" i="28"/>
  <c r="C567" i="28"/>
  <c r="C566" i="28"/>
  <c r="C565" i="28"/>
  <c r="C564" i="28"/>
  <c r="M564" i="28" s="1"/>
  <c r="L564" i="28" s="1"/>
  <c r="D564" i="28" s="1"/>
  <c r="C563" i="28"/>
  <c r="C562" i="28"/>
  <c r="M563" i="28" s="1"/>
  <c r="L563" i="28" s="1"/>
  <c r="D563" i="28" s="1"/>
  <c r="C561" i="28"/>
  <c r="C560" i="28"/>
  <c r="C559" i="28"/>
  <c r="C558" i="28"/>
  <c r="M559" i="28" s="1"/>
  <c r="L559" i="28" s="1"/>
  <c r="D559" i="28" s="1"/>
  <c r="C557" i="28"/>
  <c r="C556" i="28"/>
  <c r="M556" i="28" s="1"/>
  <c r="L556" i="28" s="1"/>
  <c r="D556" i="28" s="1"/>
  <c r="C555" i="28"/>
  <c r="C554" i="28"/>
  <c r="M555" i="28" s="1"/>
  <c r="L555" i="28" s="1"/>
  <c r="D555" i="28" s="1"/>
  <c r="C553" i="28"/>
  <c r="C552" i="28"/>
  <c r="C551" i="28"/>
  <c r="C550" i="28"/>
  <c r="M551" i="28" s="1"/>
  <c r="L551" i="28" s="1"/>
  <c r="D551" i="28" s="1"/>
  <c r="C549" i="28"/>
  <c r="C548" i="28"/>
  <c r="C538" i="28"/>
  <c r="C547" i="28"/>
  <c r="M546" i="28" s="1"/>
  <c r="L546" i="28" s="1"/>
  <c r="D546" i="28" s="1"/>
  <c r="C546" i="28"/>
  <c r="C545" i="28"/>
  <c r="M544" i="28" s="1"/>
  <c r="L544" i="28" s="1"/>
  <c r="D544" i="28" s="1"/>
  <c r="C544" i="28"/>
  <c r="C543" i="28"/>
  <c r="M543" i="28" s="1"/>
  <c r="L543" i="28" s="1"/>
  <c r="D543" i="28" s="1"/>
  <c r="C542" i="28"/>
  <c r="C541" i="28"/>
  <c r="C540" i="28"/>
  <c r="C539" i="28"/>
  <c r="C537" i="28"/>
  <c r="C536" i="28"/>
  <c r="C535" i="28"/>
  <c r="C534" i="28"/>
  <c r="M535" i="28" s="1"/>
  <c r="L535" i="28" s="1"/>
  <c r="D535" i="28" s="1"/>
  <c r="C533" i="28"/>
  <c r="C532" i="28"/>
  <c r="C531" i="28"/>
  <c r="C530" i="28"/>
  <c r="M531" i="28" s="1"/>
  <c r="L531" i="28" s="1"/>
  <c r="D531" i="28" s="1"/>
  <c r="C529" i="28"/>
  <c r="C528" i="28"/>
  <c r="C518" i="28"/>
  <c r="C527" i="28"/>
  <c r="C526" i="28"/>
  <c r="C525" i="28"/>
  <c r="C524" i="28"/>
  <c r="C523" i="28"/>
  <c r="M523" i="28" s="1"/>
  <c r="L523" i="28" s="1"/>
  <c r="D523" i="28" s="1"/>
  <c r="C522" i="28"/>
  <c r="C521" i="28"/>
  <c r="C520" i="28"/>
  <c r="C519" i="28"/>
  <c r="M519" i="28" s="1"/>
  <c r="L519" i="28" s="1"/>
  <c r="D519" i="28" s="1"/>
  <c r="C517" i="28"/>
  <c r="C516" i="28"/>
  <c r="M516" i="28" s="1"/>
  <c r="L516" i="28" s="1"/>
  <c r="D516" i="28" s="1"/>
  <c r="C515" i="28"/>
  <c r="C514" i="28"/>
  <c r="M514" i="28" s="1"/>
  <c r="L514" i="28" s="1"/>
  <c r="D514" i="28" s="1"/>
  <c r="C513" i="28"/>
  <c r="C512" i="28"/>
  <c r="C511" i="28"/>
  <c r="C510" i="28"/>
  <c r="M511" i="28" s="1"/>
  <c r="L511" i="28" s="1"/>
  <c r="D511" i="28" s="1"/>
  <c r="C509" i="28"/>
  <c r="C508" i="28"/>
  <c r="C507" i="28"/>
  <c r="C506" i="28"/>
  <c r="C505" i="28"/>
  <c r="C504" i="28"/>
  <c r="M504" i="28" s="1"/>
  <c r="L504" i="28" s="1"/>
  <c r="D504" i="28" s="1"/>
  <c r="C503" i="28"/>
  <c r="C502" i="28"/>
  <c r="M503" i="28" s="1"/>
  <c r="L503" i="28" s="1"/>
  <c r="D503" i="28" s="1"/>
  <c r="C501" i="28"/>
  <c r="C500" i="28"/>
  <c r="C499" i="28"/>
  <c r="C498" i="28"/>
  <c r="C488" i="28"/>
  <c r="M489" i="28"/>
  <c r="L489" i="28" s="1"/>
  <c r="D489" i="28" s="1"/>
  <c r="C497" i="28"/>
  <c r="C496" i="28"/>
  <c r="M496" i="28" s="1"/>
  <c r="L496" i="28" s="1"/>
  <c r="D496" i="28" s="1"/>
  <c r="C495" i="28"/>
  <c r="C494" i="28"/>
  <c r="M494" i="28" s="1"/>
  <c r="L494" i="28" s="1"/>
  <c r="D494" i="28" s="1"/>
  <c r="C493" i="28"/>
  <c r="C492" i="28"/>
  <c r="C491" i="28"/>
  <c r="C490" i="28"/>
  <c r="C489" i="28"/>
  <c r="C487" i="28"/>
  <c r="M486" i="28" s="1"/>
  <c r="L486" i="28" s="1"/>
  <c r="D486" i="28" s="1"/>
  <c r="C486" i="28"/>
  <c r="C485" i="28"/>
  <c r="C484" i="28"/>
  <c r="C483" i="28"/>
  <c r="M482" i="28" s="1"/>
  <c r="L482" i="28" s="1"/>
  <c r="D482" i="28" s="1"/>
  <c r="C482" i="28"/>
  <c r="C481" i="28"/>
  <c r="M481" i="28" s="1"/>
  <c r="L481" i="28" s="1"/>
  <c r="D481" i="28" s="1"/>
  <c r="C480" i="28"/>
  <c r="C479" i="28"/>
  <c r="M478" i="28" s="1"/>
  <c r="L478" i="28" s="1"/>
  <c r="D478" i="28" s="1"/>
  <c r="C478" i="28"/>
  <c r="C477" i="28"/>
  <c r="C476" i="28"/>
  <c r="C475" i="28"/>
  <c r="M475" i="28" s="1"/>
  <c r="L475" i="28" s="1"/>
  <c r="D475" i="28" s="1"/>
  <c r="C474" i="28"/>
  <c r="C473" i="28"/>
  <c r="C472" i="28"/>
  <c r="C471" i="28"/>
  <c r="M470" i="28" s="1"/>
  <c r="L470" i="28" s="1"/>
  <c r="D470" i="28" s="1"/>
  <c r="C470" i="28"/>
  <c r="C469" i="28"/>
  <c r="C468" i="28"/>
  <c r="C467" i="28"/>
  <c r="M466" i="28" s="1"/>
  <c r="L466" i="28" s="1"/>
  <c r="D466" i="28" s="1"/>
  <c r="C466" i="28"/>
  <c r="C465" i="28"/>
  <c r="M465" i="28" s="1"/>
  <c r="L465" i="28" s="1"/>
  <c r="D465" i="28" s="1"/>
  <c r="C464" i="28"/>
  <c r="C463" i="28"/>
  <c r="C462" i="28"/>
  <c r="C461" i="28"/>
  <c r="C460" i="28"/>
  <c r="C459" i="28"/>
  <c r="C458" i="28"/>
  <c r="M577" i="28"/>
  <c r="L577" i="28" s="1"/>
  <c r="D577" i="28" s="1"/>
  <c r="M575" i="28"/>
  <c r="L575" i="28" s="1"/>
  <c r="D575" i="28" s="1"/>
  <c r="M574" i="28"/>
  <c r="L574" i="28" s="1"/>
  <c r="D574" i="28" s="1"/>
  <c r="M573" i="28"/>
  <c r="L573" i="28" s="1"/>
  <c r="D573" i="28" s="1"/>
  <c r="M572" i="28"/>
  <c r="L572" i="28" s="1"/>
  <c r="D572" i="28" s="1"/>
  <c r="M566" i="28"/>
  <c r="L566" i="28" s="1"/>
  <c r="D566" i="28" s="1"/>
  <c r="M565" i="28"/>
  <c r="L565" i="28" s="1"/>
  <c r="D565" i="28" s="1"/>
  <c r="M557" i="28"/>
  <c r="L557" i="28" s="1"/>
  <c r="D557" i="28" s="1"/>
  <c r="M552" i="28"/>
  <c r="L552" i="28" s="1"/>
  <c r="D552" i="28" s="1"/>
  <c r="M550" i="28"/>
  <c r="L550" i="28" s="1"/>
  <c r="D550" i="28" s="1"/>
  <c r="M549" i="28"/>
  <c r="L549" i="28" s="1"/>
  <c r="D549" i="28" s="1"/>
  <c r="M548" i="28"/>
  <c r="L548" i="28" s="1"/>
  <c r="D548" i="28" s="1"/>
  <c r="M542" i="28"/>
  <c r="L542" i="28" s="1"/>
  <c r="D542" i="28" s="1"/>
  <c r="M533" i="28"/>
  <c r="L533" i="28" s="1"/>
  <c r="D533" i="28" s="1"/>
  <c r="M532" i="28"/>
  <c r="L532" i="28" s="1"/>
  <c r="D532" i="28" s="1"/>
  <c r="M526" i="28"/>
  <c r="L526" i="28" s="1"/>
  <c r="D526" i="28" s="1"/>
  <c r="M517" i="28"/>
  <c r="L517" i="28" s="1"/>
  <c r="D517" i="28" s="1"/>
  <c r="M508" i="28"/>
  <c r="L508" i="28" s="1"/>
  <c r="D508" i="28" s="1"/>
  <c r="M495" i="28"/>
  <c r="L495" i="28" s="1"/>
  <c r="D495" i="28" s="1"/>
  <c r="M487" i="28"/>
  <c r="L487" i="28" s="1"/>
  <c r="D487" i="28" s="1"/>
  <c r="M468" i="28"/>
  <c r="L468" i="28" s="1"/>
  <c r="D468" i="28" s="1"/>
  <c r="C1329" i="28"/>
  <c r="C1328" i="28"/>
  <c r="C1295" i="28"/>
  <c r="C1294" i="28"/>
  <c r="C1293" i="28"/>
  <c r="M1294" i="28" s="1"/>
  <c r="L1294" i="28" s="1"/>
  <c r="D1294" i="28" s="1"/>
  <c r="C1292" i="28"/>
  <c r="C1291" i="28"/>
  <c r="M1292" i="28" s="1"/>
  <c r="L1292" i="28" s="1"/>
  <c r="D1292" i="28" s="1"/>
  <c r="C1290" i="28"/>
  <c r="M1291" i="28" s="1"/>
  <c r="L1291" i="28" s="1"/>
  <c r="D1291" i="28" s="1"/>
  <c r="C1289" i="28"/>
  <c r="C1288" i="28"/>
  <c r="C1287" i="28"/>
  <c r="M1288" i="28" s="1"/>
  <c r="L1288" i="28" s="1"/>
  <c r="D1288" i="28" s="1"/>
  <c r="C1286" i="28"/>
  <c r="C1285" i="28"/>
  <c r="M1286" i="28" s="1"/>
  <c r="L1286" i="28" s="1"/>
  <c r="D1286" i="28" s="1"/>
  <c r="C1284" i="28"/>
  <c r="M1285" i="28" s="1"/>
  <c r="L1285" i="28" s="1"/>
  <c r="D1285" i="28" s="1"/>
  <c r="C1283" i="28"/>
  <c r="C1282" i="28"/>
  <c r="M1283" i="28" s="1"/>
  <c r="L1283" i="28" s="1"/>
  <c r="D1283" i="28" s="1"/>
  <c r="C1281" i="28"/>
  <c r="M1282" i="28" s="1"/>
  <c r="L1282" i="28" s="1"/>
  <c r="D1282" i="28" s="1"/>
  <c r="M461" i="28" l="1"/>
  <c r="L461" i="28" s="1"/>
  <c r="D461" i="28" s="1"/>
  <c r="M485" i="28"/>
  <c r="L485" i="28" s="1"/>
  <c r="D485" i="28" s="1"/>
  <c r="M525" i="28"/>
  <c r="L525" i="28" s="1"/>
  <c r="D525" i="28" s="1"/>
  <c r="M541" i="28"/>
  <c r="L541" i="28" s="1"/>
  <c r="D541" i="28" s="1"/>
  <c r="M502" i="28"/>
  <c r="L502" i="28" s="1"/>
  <c r="D502" i="28" s="1"/>
  <c r="M501" i="28"/>
  <c r="L501" i="28" s="1"/>
  <c r="D501" i="28" s="1"/>
  <c r="M515" i="28"/>
  <c r="L515" i="28" s="1"/>
  <c r="D515" i="28" s="1"/>
  <c r="M534" i="28"/>
  <c r="L534" i="28" s="1"/>
  <c r="D534" i="28" s="1"/>
  <c r="M483" i="28"/>
  <c r="L483" i="28" s="1"/>
  <c r="D483" i="28" s="1"/>
  <c r="M474" i="28"/>
  <c r="L474" i="28" s="1"/>
  <c r="D474" i="28" s="1"/>
  <c r="M562" i="28"/>
  <c r="L562" i="28" s="1"/>
  <c r="D562" i="28" s="1"/>
  <c r="M1293" i="28"/>
  <c r="L1293" i="28" s="1"/>
  <c r="D1293" i="28" s="1"/>
  <c r="M493" i="28"/>
  <c r="L493" i="28" s="1"/>
  <c r="D493" i="28" s="1"/>
  <c r="M506" i="28"/>
  <c r="L506" i="28" s="1"/>
  <c r="D506" i="28" s="1"/>
  <c r="M1295" i="28"/>
  <c r="L1295" i="28" s="1"/>
  <c r="D1295" i="28" s="1"/>
  <c r="M498" i="28"/>
  <c r="L498" i="28" s="1"/>
  <c r="D498" i="28" s="1"/>
  <c r="M479" i="28"/>
  <c r="L479" i="28" s="1"/>
  <c r="D479" i="28" s="1"/>
  <c r="M522" i="28"/>
  <c r="L522" i="28" s="1"/>
  <c r="D522" i="28" s="1"/>
  <c r="M1290" i="28"/>
  <c r="L1290" i="28" s="1"/>
  <c r="D1290" i="28" s="1"/>
  <c r="M554" i="28"/>
  <c r="L554" i="28" s="1"/>
  <c r="D554" i="28" s="1"/>
  <c r="M513" i="28"/>
  <c r="L513" i="28" s="1"/>
  <c r="D513" i="28" s="1"/>
  <c r="M529" i="28"/>
  <c r="L529" i="28" s="1"/>
  <c r="D529" i="28" s="1"/>
  <c r="M553" i="28"/>
  <c r="L553" i="28" s="1"/>
  <c r="D553" i="28" s="1"/>
  <c r="M561" i="28"/>
  <c r="L561" i="28" s="1"/>
  <c r="D561" i="28" s="1"/>
  <c r="M568" i="28"/>
  <c r="L568" i="28" s="1"/>
  <c r="D568" i="28" s="1"/>
  <c r="M576" i="28"/>
  <c r="L576" i="28" s="1"/>
  <c r="D576" i="28" s="1"/>
  <c r="M460" i="28"/>
  <c r="L460" i="28" s="1"/>
  <c r="D460" i="28" s="1"/>
  <c r="M467" i="28"/>
  <c r="L467" i="28" s="1"/>
  <c r="D467" i="28" s="1"/>
  <c r="M1287" i="28"/>
  <c r="L1287" i="28" s="1"/>
  <c r="D1287" i="28" s="1"/>
  <c r="M1289" i="28"/>
  <c r="L1289" i="28" s="1"/>
  <c r="D1289" i="28" s="1"/>
  <c r="M512" i="28"/>
  <c r="L512" i="28" s="1"/>
  <c r="D512" i="28" s="1"/>
  <c r="M473" i="28"/>
  <c r="L473" i="28" s="1"/>
  <c r="D473" i="28" s="1"/>
  <c r="M472" i="28"/>
  <c r="L472" i="28" s="1"/>
  <c r="D472" i="28" s="1"/>
  <c r="M490" i="28"/>
  <c r="L490" i="28" s="1"/>
  <c r="D490" i="28" s="1"/>
  <c r="M491" i="28"/>
  <c r="L491" i="28" s="1"/>
  <c r="D491" i="28" s="1"/>
  <c r="M1284" i="28"/>
  <c r="L1284" i="28" s="1"/>
  <c r="D1284" i="28" s="1"/>
  <c r="M464" i="28"/>
  <c r="L464" i="28" s="1"/>
  <c r="D464" i="28" s="1"/>
  <c r="M480" i="28"/>
  <c r="L480" i="28" s="1"/>
  <c r="D480" i="28" s="1"/>
  <c r="M505" i="28"/>
  <c r="L505" i="28" s="1"/>
  <c r="D505" i="28" s="1"/>
  <c r="M545" i="28"/>
  <c r="L545" i="28" s="1"/>
  <c r="D545" i="28" s="1"/>
  <c r="M463" i="28"/>
  <c r="L463" i="28" s="1"/>
  <c r="D463" i="28" s="1"/>
  <c r="M471" i="28"/>
  <c r="L471" i="28" s="1"/>
  <c r="D471" i="28" s="1"/>
  <c r="M497" i="28"/>
  <c r="L497" i="28" s="1"/>
  <c r="D497" i="28" s="1"/>
  <c r="M521" i="28"/>
  <c r="L521" i="28" s="1"/>
  <c r="D521" i="28" s="1"/>
  <c r="M567" i="28"/>
  <c r="L567" i="28" s="1"/>
  <c r="D567" i="28" s="1"/>
  <c r="M528" i="28"/>
  <c r="L528" i="28" s="1"/>
  <c r="D528" i="28" s="1"/>
  <c r="M537" i="28"/>
  <c r="L537" i="28" s="1"/>
  <c r="D537" i="28" s="1"/>
  <c r="M530" i="28"/>
  <c r="L530" i="28" s="1"/>
  <c r="D530" i="28" s="1"/>
  <c r="M547" i="28"/>
  <c r="L547" i="28" s="1"/>
  <c r="D547" i="28" s="1"/>
  <c r="M571" i="28"/>
  <c r="L571" i="28" s="1"/>
  <c r="D571" i="28" s="1"/>
  <c r="M469" i="28"/>
  <c r="L469" i="28" s="1"/>
  <c r="D469" i="28" s="1"/>
  <c r="M477" i="28"/>
  <c r="L477" i="28" s="1"/>
  <c r="D477" i="28" s="1"/>
  <c r="M509" i="28"/>
  <c r="L509" i="28" s="1"/>
  <c r="D509" i="28" s="1"/>
  <c r="M527" i="28"/>
  <c r="L527" i="28" s="1"/>
  <c r="D527" i="28" s="1"/>
  <c r="M569" i="28"/>
  <c r="L569" i="28" s="1"/>
  <c r="D569" i="28" s="1"/>
  <c r="M560" i="28"/>
  <c r="L560" i="28" s="1"/>
  <c r="D560" i="28" s="1"/>
  <c r="M558" i="28"/>
  <c r="L558" i="28" s="1"/>
  <c r="D558" i="28" s="1"/>
  <c r="M540" i="28"/>
  <c r="L540" i="28" s="1"/>
  <c r="D540" i="28" s="1"/>
  <c r="M536" i="28"/>
  <c r="L536" i="28" s="1"/>
  <c r="D536" i="28" s="1"/>
  <c r="M518" i="28"/>
  <c r="L518" i="28" s="1"/>
  <c r="D518" i="28" s="1"/>
  <c r="M520" i="28"/>
  <c r="L520" i="28" s="1"/>
  <c r="D520" i="28" s="1"/>
  <c r="M524" i="28"/>
  <c r="L524" i="28" s="1"/>
  <c r="D524" i="28" s="1"/>
  <c r="M510" i="28"/>
  <c r="L510" i="28" s="1"/>
  <c r="D510" i="28" s="1"/>
  <c r="M500" i="28"/>
  <c r="L500" i="28" s="1"/>
  <c r="D500" i="28" s="1"/>
  <c r="M507" i="28"/>
  <c r="L507" i="28" s="1"/>
  <c r="D507" i="28" s="1"/>
  <c r="M499" i="28"/>
  <c r="L499" i="28" s="1"/>
  <c r="D499" i="28" s="1"/>
  <c r="M488" i="28"/>
  <c r="L488" i="28" s="1"/>
  <c r="D488" i="28" s="1"/>
  <c r="M492" i="28"/>
  <c r="L492" i="28" s="1"/>
  <c r="D492" i="28" s="1"/>
  <c r="M484" i="28"/>
  <c r="L484" i="28" s="1"/>
  <c r="D484" i="28" s="1"/>
  <c r="M476" i="28"/>
  <c r="L476" i="28" s="1"/>
  <c r="D476" i="28" s="1"/>
  <c r="M462" i="28"/>
  <c r="L462" i="28" s="1"/>
  <c r="D462" i="28" s="1"/>
  <c r="M459" i="28"/>
  <c r="L459" i="28" s="1"/>
  <c r="D459" i="28" s="1"/>
  <c r="M458" i="28"/>
  <c r="L458" i="28" s="1"/>
  <c r="D458" i="28" s="1"/>
  <c r="C42" i="28" l="1"/>
  <c r="C41" i="28"/>
  <c r="M42" i="28" s="1"/>
  <c r="L42" i="28" s="1"/>
  <c r="D42" i="28" s="1"/>
  <c r="C40" i="28"/>
  <c r="C39" i="28"/>
  <c r="C936" i="28"/>
  <c r="C935" i="28"/>
  <c r="C934" i="28"/>
  <c r="C933" i="28"/>
  <c r="C930" i="28"/>
  <c r="C927" i="28"/>
  <c r="C921" i="28"/>
  <c r="C915" i="28"/>
  <c r="C909" i="28"/>
  <c r="C903" i="28"/>
  <c r="C897" i="28"/>
  <c r="C893" i="28"/>
  <c r="C891" i="28"/>
  <c r="C885" i="28"/>
  <c r="C879" i="28"/>
  <c r="C932" i="28"/>
  <c r="C931" i="28"/>
  <c r="C929" i="28"/>
  <c r="C928" i="28"/>
  <c r="C926" i="28"/>
  <c r="C925" i="28"/>
  <c r="C924" i="28"/>
  <c r="C923" i="28"/>
  <c r="C922" i="28"/>
  <c r="C920" i="28"/>
  <c r="C919" i="28"/>
  <c r="C918" i="28"/>
  <c r="C917" i="28"/>
  <c r="C916" i="28"/>
  <c r="C914" i="28"/>
  <c r="C913" i="28"/>
  <c r="C912" i="28"/>
  <c r="C911" i="28"/>
  <c r="C910" i="28"/>
  <c r="C908" i="28"/>
  <c r="C907" i="28"/>
  <c r="C906" i="28"/>
  <c r="C905" i="28"/>
  <c r="C904" i="28"/>
  <c r="C902" i="28"/>
  <c r="C901" i="28"/>
  <c r="C900" i="28"/>
  <c r="C899" i="28"/>
  <c r="C898" i="28"/>
  <c r="C896" i="28"/>
  <c r="C895" i="28"/>
  <c r="C894" i="28"/>
  <c r="C892" i="28"/>
  <c r="C890" i="28"/>
  <c r="C889" i="28"/>
  <c r="C888" i="28"/>
  <c r="C887" i="28"/>
  <c r="C886" i="28"/>
  <c r="C884" i="28"/>
  <c r="C883" i="28"/>
  <c r="C882" i="28"/>
  <c r="C881" i="28"/>
  <c r="C880" i="28"/>
  <c r="C878" i="28"/>
  <c r="C877" i="28"/>
  <c r="C876" i="28"/>
  <c r="C875" i="28"/>
  <c r="C874" i="28"/>
  <c r="C32" i="28"/>
  <c r="N17" i="28" s="1"/>
  <c r="M17" i="28" s="1"/>
  <c r="L17" i="28" s="1"/>
  <c r="M40" i="28" l="1"/>
  <c r="L40" i="28" s="1"/>
  <c r="D40" i="28" s="1"/>
  <c r="C607" i="28"/>
  <c r="C608" i="28"/>
  <c r="C609" i="28"/>
  <c r="M608" i="28" l="1"/>
  <c r="L608" i="28" s="1"/>
  <c r="D608" i="28" s="1"/>
  <c r="M607" i="28"/>
  <c r="L607" i="28" s="1"/>
  <c r="D607" i="28" s="1"/>
  <c r="C1365" i="28"/>
  <c r="C1364" i="28"/>
  <c r="C1363" i="28"/>
  <c r="C1362" i="28"/>
  <c r="C1361" i="28"/>
  <c r="C1358" i="28"/>
  <c r="C1357" i="28"/>
  <c r="C1356" i="28"/>
  <c r="C1355" i="28"/>
  <c r="C1354" i="28"/>
  <c r="C1353" i="28"/>
  <c r="C1352" i="28"/>
  <c r="C1351" i="28"/>
  <c r="C1350" i="28"/>
  <c r="C1349" i="28"/>
  <c r="C1348" i="28"/>
  <c r="C1347" i="28"/>
  <c r="C1346" i="28"/>
  <c r="C1345" i="28"/>
  <c r="C1344" i="28"/>
  <c r="C1343" i="28"/>
  <c r="C1342" i="28"/>
  <c r="C1341" i="28"/>
  <c r="C1340" i="28"/>
  <c r="C1339" i="28"/>
  <c r="C1338" i="28"/>
  <c r="C1337" i="28"/>
  <c r="C1336" i="28"/>
  <c r="C1335" i="28"/>
  <c r="C1334" i="28"/>
  <c r="C1333" i="28"/>
  <c r="C1327" i="28"/>
  <c r="C1326" i="28"/>
  <c r="C1325" i="28"/>
  <c r="C1324" i="28"/>
  <c r="C1323" i="28"/>
  <c r="C1322" i="28"/>
  <c r="C1321" i="28"/>
  <c r="C1317" i="28"/>
  <c r="C1316" i="28"/>
  <c r="C1315" i="28"/>
  <c r="C1314" i="28"/>
  <c r="C1313" i="28"/>
  <c r="C1312" i="28"/>
  <c r="C1311" i="28"/>
  <c r="C1310" i="28"/>
  <c r="C1309" i="28"/>
  <c r="C1308" i="28"/>
  <c r="C1307" i="28"/>
  <c r="C1306" i="28"/>
  <c r="C1305" i="28"/>
  <c r="C1304" i="28"/>
  <c r="C1303" i="28"/>
  <c r="C1302" i="28"/>
  <c r="C1301" i="28"/>
  <c r="C1300" i="28"/>
  <c r="C1299" i="28"/>
  <c r="C1298" i="28"/>
  <c r="C1297" i="28"/>
  <c r="C1296" i="28"/>
  <c r="C1280" i="28"/>
  <c r="M1281" i="28" s="1"/>
  <c r="L1281" i="28" s="1"/>
  <c r="D1281" i="28" s="1"/>
  <c r="C1279" i="28"/>
  <c r="C1278" i="28"/>
  <c r="M1278" i="28" s="1"/>
  <c r="L1278" i="28" s="1"/>
  <c r="D1278" i="28" s="1"/>
  <c r="C1277" i="28"/>
  <c r="C1276" i="28"/>
  <c r="C1275" i="28"/>
  <c r="M1275" i="28" s="1"/>
  <c r="L1275" i="28" s="1"/>
  <c r="D1275" i="28" s="1"/>
  <c r="C1274" i="28"/>
  <c r="C1273" i="28"/>
  <c r="C1272" i="28"/>
  <c r="M1272" i="28" s="1"/>
  <c r="L1272" i="28" s="1"/>
  <c r="D1272" i="28" s="1"/>
  <c r="C1271" i="28"/>
  <c r="C1270" i="28"/>
  <c r="C1269" i="28"/>
  <c r="C1268" i="28"/>
  <c r="C1267" i="28"/>
  <c r="C1266" i="28"/>
  <c r="C1265" i="28"/>
  <c r="C1264" i="28"/>
  <c r="C1263" i="28"/>
  <c r="C1262" i="28"/>
  <c r="C1261" i="28"/>
  <c r="C1260" i="28"/>
  <c r="C1259" i="28"/>
  <c r="C1258" i="28"/>
  <c r="C1257" i="28"/>
  <c r="C1256" i="28"/>
  <c r="C1255" i="28"/>
  <c r="C1254" i="28"/>
  <c r="M1254" i="28" s="1"/>
  <c r="L1254" i="28" s="1"/>
  <c r="D1254" i="28" s="1"/>
  <c r="C1253" i="28"/>
  <c r="C1252" i="28"/>
  <c r="C1251" i="28"/>
  <c r="M1251" i="28" s="1"/>
  <c r="L1251" i="28" s="1"/>
  <c r="D1251" i="28" s="1"/>
  <c r="C1250" i="28"/>
  <c r="C1249" i="28"/>
  <c r="C1248" i="28"/>
  <c r="C1247" i="28"/>
  <c r="C1246" i="28"/>
  <c r="C1245" i="28"/>
  <c r="C1241" i="28"/>
  <c r="C1240" i="28"/>
  <c r="C1239" i="28"/>
  <c r="C1238" i="28"/>
  <c r="C1237" i="28"/>
  <c r="C1236" i="28"/>
  <c r="C1235" i="28"/>
  <c r="C1234" i="28"/>
  <c r="C1233" i="28"/>
  <c r="C1232" i="28"/>
  <c r="C1231" i="28"/>
  <c r="C1230" i="28"/>
  <c r="C1229" i="28"/>
  <c r="C1228" i="28"/>
  <c r="C1227" i="28"/>
  <c r="C1226" i="28"/>
  <c r="C1225" i="28"/>
  <c r="C1224" i="28"/>
  <c r="C1223" i="28"/>
  <c r="C1222" i="28"/>
  <c r="C1221" i="28"/>
  <c r="C1220" i="28"/>
  <c r="C1219" i="28"/>
  <c r="M1219" i="28" s="1"/>
  <c r="L1219" i="28" s="1"/>
  <c r="D1219" i="28" s="1"/>
  <c r="C1218" i="28"/>
  <c r="C1217" i="28"/>
  <c r="C1216" i="28"/>
  <c r="M1216" i="28" s="1"/>
  <c r="L1216" i="28" s="1"/>
  <c r="D1216" i="28" s="1"/>
  <c r="C1215" i="28"/>
  <c r="C1214" i="28"/>
  <c r="C1213" i="28"/>
  <c r="M1213" i="28" s="1"/>
  <c r="L1213" i="28" s="1"/>
  <c r="D1213" i="28" s="1"/>
  <c r="C1212" i="28"/>
  <c r="C1211" i="28"/>
  <c r="C1210" i="28"/>
  <c r="C1209" i="28"/>
  <c r="C1208" i="28"/>
  <c r="C1207" i="28"/>
  <c r="C1206" i="28"/>
  <c r="C1205" i="28"/>
  <c r="C1204" i="28"/>
  <c r="C1203" i="28"/>
  <c r="C1202" i="28"/>
  <c r="C1201" i="28"/>
  <c r="C1200" i="28"/>
  <c r="C1199" i="28"/>
  <c r="C1198" i="28"/>
  <c r="C1197" i="28"/>
  <c r="C1196" i="28"/>
  <c r="C1195" i="28"/>
  <c r="M1195" i="28" s="1"/>
  <c r="L1195" i="28" s="1"/>
  <c r="D1195" i="28" s="1"/>
  <c r="C1194" i="28"/>
  <c r="C1193" i="28"/>
  <c r="C1192" i="28"/>
  <c r="M1192" i="28" s="1"/>
  <c r="L1192" i="28" s="1"/>
  <c r="D1192" i="28" s="1"/>
  <c r="C1191" i="28"/>
  <c r="C1190" i="28"/>
  <c r="C1189" i="28"/>
  <c r="M1189" i="28" s="1"/>
  <c r="L1189" i="28" s="1"/>
  <c r="D1189" i="28" s="1"/>
  <c r="C1188" i="28"/>
  <c r="C1187" i="28"/>
  <c r="C1186" i="28"/>
  <c r="C1185" i="28"/>
  <c r="C1184" i="28"/>
  <c r="C1183" i="28"/>
  <c r="C1182" i="28"/>
  <c r="C1181" i="28"/>
  <c r="C1180" i="28"/>
  <c r="C1179" i="28"/>
  <c r="C1178" i="28"/>
  <c r="C1177" i="28"/>
  <c r="C1176" i="28"/>
  <c r="C1175" i="28"/>
  <c r="C1174" i="28"/>
  <c r="C1173" i="28"/>
  <c r="C1172" i="28"/>
  <c r="C1171" i="28"/>
  <c r="M1171" i="28" s="1"/>
  <c r="L1171" i="28" s="1"/>
  <c r="D1171" i="28" s="1"/>
  <c r="C1170" i="28"/>
  <c r="C1169" i="28"/>
  <c r="C1168" i="28"/>
  <c r="M1168" i="28" s="1"/>
  <c r="L1168" i="28" s="1"/>
  <c r="D1168" i="28" s="1"/>
  <c r="C1167" i="28"/>
  <c r="C1166" i="28"/>
  <c r="C1165" i="28"/>
  <c r="M1165" i="28" s="1"/>
  <c r="L1165" i="28" s="1"/>
  <c r="D1165" i="28" s="1"/>
  <c r="C1164" i="28"/>
  <c r="C1163" i="28"/>
  <c r="C1162" i="28"/>
  <c r="C1161" i="28"/>
  <c r="C1160" i="28"/>
  <c r="C1159" i="28"/>
  <c r="C1158" i="28"/>
  <c r="C1157" i="28"/>
  <c r="C1156" i="28"/>
  <c r="C1155" i="28"/>
  <c r="C1154" i="28"/>
  <c r="C1153" i="28"/>
  <c r="C1152" i="28"/>
  <c r="C1151" i="28"/>
  <c r="C1150" i="28"/>
  <c r="C1149" i="28"/>
  <c r="C1148" i="28"/>
  <c r="C1147" i="28"/>
  <c r="M1147" i="28" s="1"/>
  <c r="L1147" i="28" s="1"/>
  <c r="D1147" i="28" s="1"/>
  <c r="C1146" i="28"/>
  <c r="C1145" i="28"/>
  <c r="C1144" i="28"/>
  <c r="M1144" i="28" s="1"/>
  <c r="L1144" i="28" s="1"/>
  <c r="D1144" i="28" s="1"/>
  <c r="C1143" i="28"/>
  <c r="C1142" i="28"/>
  <c r="C1141" i="28"/>
  <c r="M1141" i="28" s="1"/>
  <c r="L1141" i="28" s="1"/>
  <c r="D1141" i="28" s="1"/>
  <c r="C1140" i="28"/>
  <c r="C1139" i="28"/>
  <c r="C1138" i="28"/>
  <c r="C1137" i="28"/>
  <c r="C1136" i="28"/>
  <c r="C1135" i="28"/>
  <c r="C1134" i="28"/>
  <c r="C1133" i="28"/>
  <c r="C1132" i="28"/>
  <c r="C1131" i="28"/>
  <c r="C1130" i="28"/>
  <c r="C1129" i="28"/>
  <c r="C1128" i="28"/>
  <c r="C1127" i="28"/>
  <c r="C1126" i="28"/>
  <c r="C1125" i="28"/>
  <c r="C1124" i="28"/>
  <c r="C1123" i="28"/>
  <c r="M1123" i="28" s="1"/>
  <c r="L1123" i="28" s="1"/>
  <c r="D1123" i="28" s="1"/>
  <c r="C1122" i="28"/>
  <c r="C1121" i="28"/>
  <c r="C1120" i="28"/>
  <c r="M1120" i="28" s="1"/>
  <c r="L1120" i="28" s="1"/>
  <c r="D1120" i="28" s="1"/>
  <c r="C1119" i="28"/>
  <c r="C1118" i="28"/>
  <c r="C1117" i="28"/>
  <c r="M1117" i="28" s="1"/>
  <c r="L1117" i="28" s="1"/>
  <c r="D1117" i="28" s="1"/>
  <c r="C1116" i="28"/>
  <c r="C1115" i="28"/>
  <c r="C1114" i="28"/>
  <c r="C1113" i="28"/>
  <c r="C1112" i="28"/>
  <c r="C1111" i="28"/>
  <c r="C1110" i="28"/>
  <c r="C1109" i="28"/>
  <c r="C1108" i="28"/>
  <c r="C1107" i="28"/>
  <c r="C1106" i="28"/>
  <c r="C1105" i="28"/>
  <c r="C1104" i="28"/>
  <c r="C1103" i="28"/>
  <c r="C1102" i="28"/>
  <c r="C1101" i="28"/>
  <c r="C1100" i="28"/>
  <c r="C1099" i="28"/>
  <c r="M1099" i="28" s="1"/>
  <c r="L1099" i="28" s="1"/>
  <c r="D1099" i="28" s="1"/>
  <c r="C1098" i="28"/>
  <c r="C1097" i="28"/>
  <c r="C1096" i="28"/>
  <c r="M1096" i="28" s="1"/>
  <c r="L1096" i="28" s="1"/>
  <c r="D1096" i="28" s="1"/>
  <c r="C1095" i="28"/>
  <c r="C1094" i="28"/>
  <c r="C1093" i="28"/>
  <c r="M1093" i="28" s="1"/>
  <c r="L1093" i="28" s="1"/>
  <c r="D1093" i="28" s="1"/>
  <c r="C1092" i="28"/>
  <c r="C1091" i="28"/>
  <c r="C1090" i="28"/>
  <c r="C1089" i="28"/>
  <c r="C1088" i="28"/>
  <c r="C1087" i="28"/>
  <c r="C1086" i="28"/>
  <c r="C1085" i="28"/>
  <c r="C1084" i="28"/>
  <c r="C1083" i="28"/>
  <c r="C1082" i="28"/>
  <c r="C1081" i="28"/>
  <c r="C1080" i="28"/>
  <c r="C1079" i="28"/>
  <c r="C1078" i="28"/>
  <c r="C1077" i="28"/>
  <c r="C1076" i="28"/>
  <c r="C1075" i="28"/>
  <c r="M1075" i="28" s="1"/>
  <c r="L1075" i="28" s="1"/>
  <c r="D1075" i="28" s="1"/>
  <c r="C1074" i="28"/>
  <c r="C1073" i="28"/>
  <c r="C1072" i="28"/>
  <c r="M1072" i="28" s="1"/>
  <c r="L1072" i="28" s="1"/>
  <c r="D1072" i="28" s="1"/>
  <c r="C1071" i="28"/>
  <c r="C1070" i="28"/>
  <c r="C1069" i="28"/>
  <c r="M1069" i="28" s="1"/>
  <c r="L1069" i="28" s="1"/>
  <c r="D1069" i="28" s="1"/>
  <c r="C1068" i="28"/>
  <c r="C1067" i="28"/>
  <c r="C1066" i="28"/>
  <c r="C1065" i="28"/>
  <c r="C1064" i="28"/>
  <c r="C1063" i="28"/>
  <c r="C1062" i="28"/>
  <c r="C1061" i="28"/>
  <c r="C1060" i="28"/>
  <c r="C1059" i="28"/>
  <c r="C1058" i="28"/>
  <c r="C1057" i="28"/>
  <c r="C1056" i="28"/>
  <c r="C1055" i="28"/>
  <c r="C1054" i="28"/>
  <c r="C1053" i="28"/>
  <c r="C1052" i="28"/>
  <c r="C1051" i="28"/>
  <c r="M1051" i="28" s="1"/>
  <c r="L1051" i="28" s="1"/>
  <c r="D1051" i="28" s="1"/>
  <c r="C1050" i="28"/>
  <c r="C1049" i="28"/>
  <c r="C1048" i="28"/>
  <c r="M1048" i="28" s="1"/>
  <c r="L1048" i="28" s="1"/>
  <c r="D1048" i="28" s="1"/>
  <c r="C1047" i="28"/>
  <c r="C1046" i="28"/>
  <c r="C1045" i="28"/>
  <c r="M1045" i="28" s="1"/>
  <c r="L1045" i="28" s="1"/>
  <c r="D1045" i="28" s="1"/>
  <c r="C1044" i="28"/>
  <c r="C1043" i="28"/>
  <c r="C1042" i="28"/>
  <c r="C1041" i="28"/>
  <c r="C1040" i="28"/>
  <c r="C1039" i="28"/>
  <c r="C1038" i="28"/>
  <c r="C1037" i="28"/>
  <c r="C1036" i="28"/>
  <c r="C1035" i="28"/>
  <c r="C1034" i="28"/>
  <c r="C1033" i="28"/>
  <c r="M1033" i="28" s="1"/>
  <c r="L1033" i="28" s="1"/>
  <c r="D1033" i="28" s="1"/>
  <c r="C1032" i="28"/>
  <c r="C1031" i="28"/>
  <c r="C1030" i="28"/>
  <c r="C1029" i="28"/>
  <c r="C1028" i="28"/>
  <c r="C1027" i="28"/>
  <c r="M1027" i="28" s="1"/>
  <c r="L1027" i="28" s="1"/>
  <c r="D1027" i="28" s="1"/>
  <c r="C1026" i="28"/>
  <c r="C1025" i="28"/>
  <c r="C1024" i="28"/>
  <c r="M1024" i="28" s="1"/>
  <c r="L1024" i="28" s="1"/>
  <c r="D1024" i="28" s="1"/>
  <c r="C1023" i="28"/>
  <c r="C1022" i="28"/>
  <c r="C1021" i="28"/>
  <c r="M1021" i="28" s="1"/>
  <c r="L1021" i="28" s="1"/>
  <c r="D1021" i="28" s="1"/>
  <c r="C1020" i="28"/>
  <c r="C1019" i="28"/>
  <c r="C1018" i="28"/>
  <c r="C1017" i="28"/>
  <c r="C1016" i="28"/>
  <c r="C1015" i="28"/>
  <c r="C1014" i="28"/>
  <c r="C1013" i="28"/>
  <c r="C1012" i="28"/>
  <c r="C1011" i="28"/>
  <c r="C1010" i="28"/>
  <c r="C1009" i="28"/>
  <c r="C1008" i="28"/>
  <c r="C1007" i="28"/>
  <c r="C1006" i="28"/>
  <c r="C1005" i="28"/>
  <c r="C1004" i="28"/>
  <c r="C1003" i="28"/>
  <c r="M1003" i="28" s="1"/>
  <c r="L1003" i="28" s="1"/>
  <c r="D1003" i="28" s="1"/>
  <c r="C1002" i="28"/>
  <c r="C1001" i="28"/>
  <c r="C1000" i="28"/>
  <c r="M1000" i="28" s="1"/>
  <c r="L1000" i="28" s="1"/>
  <c r="D1000" i="28" s="1"/>
  <c r="C999" i="28"/>
  <c r="C998" i="28"/>
  <c r="C997" i="28"/>
  <c r="M997" i="28" s="1"/>
  <c r="L997" i="28" s="1"/>
  <c r="D997" i="28" s="1"/>
  <c r="C996" i="28"/>
  <c r="C995" i="28"/>
  <c r="C994" i="28"/>
  <c r="C993" i="28"/>
  <c r="C992" i="28"/>
  <c r="C991" i="28"/>
  <c r="C990" i="28"/>
  <c r="C989" i="28"/>
  <c r="C988" i="28"/>
  <c r="C987" i="28"/>
  <c r="C986" i="28"/>
  <c r="C985" i="28"/>
  <c r="C984" i="28"/>
  <c r="C983" i="28"/>
  <c r="C982" i="28"/>
  <c r="C981" i="28"/>
  <c r="C980" i="28"/>
  <c r="C979" i="28"/>
  <c r="M979" i="28" s="1"/>
  <c r="L979" i="28" s="1"/>
  <c r="D979" i="28" s="1"/>
  <c r="C978" i="28"/>
  <c r="C977" i="28"/>
  <c r="C976" i="28"/>
  <c r="M976" i="28" s="1"/>
  <c r="L976" i="28" s="1"/>
  <c r="D976" i="28" s="1"/>
  <c r="C975" i="28"/>
  <c r="C974" i="28"/>
  <c r="C973" i="28"/>
  <c r="M973" i="28" s="1"/>
  <c r="L973" i="28" s="1"/>
  <c r="D973" i="28" s="1"/>
  <c r="C972" i="28"/>
  <c r="C971" i="28"/>
  <c r="C970" i="28"/>
  <c r="C969" i="28"/>
  <c r="C968" i="28"/>
  <c r="C967" i="28"/>
  <c r="C966" i="28"/>
  <c r="C965" i="28"/>
  <c r="C964" i="28"/>
  <c r="C963" i="28"/>
  <c r="C962" i="28"/>
  <c r="C961" i="28"/>
  <c r="C960" i="28"/>
  <c r="C959" i="28"/>
  <c r="C958" i="28"/>
  <c r="C957" i="28"/>
  <c r="C956" i="28"/>
  <c r="C955" i="28"/>
  <c r="M955" i="28" s="1"/>
  <c r="L955" i="28" s="1"/>
  <c r="D955" i="28" s="1"/>
  <c r="C954" i="28"/>
  <c r="C953" i="28"/>
  <c r="C952" i="28"/>
  <c r="M952" i="28" s="1"/>
  <c r="L952" i="28" s="1"/>
  <c r="D952" i="28" s="1"/>
  <c r="C951" i="28"/>
  <c r="C950" i="28"/>
  <c r="C949" i="28"/>
  <c r="M949" i="28" s="1"/>
  <c r="L949" i="28" s="1"/>
  <c r="D949" i="28" s="1"/>
  <c r="C948" i="28"/>
  <c r="C947" i="28"/>
  <c r="C946" i="28"/>
  <c r="C945" i="28"/>
  <c r="C944" i="28"/>
  <c r="C943" i="28"/>
  <c r="C942" i="28"/>
  <c r="C941" i="28"/>
  <c r="C940" i="28"/>
  <c r="C873" i="28"/>
  <c r="C872" i="28"/>
  <c r="C871" i="28"/>
  <c r="C870" i="28"/>
  <c r="C869" i="28"/>
  <c r="C868" i="28"/>
  <c r="C867" i="28"/>
  <c r="C866" i="28"/>
  <c r="C865" i="28"/>
  <c r="C864" i="28"/>
  <c r="C863" i="28"/>
  <c r="C862" i="28"/>
  <c r="C861" i="28"/>
  <c r="C860" i="28"/>
  <c r="C859" i="28"/>
  <c r="C858" i="28"/>
  <c r="C857" i="28"/>
  <c r="C856" i="28"/>
  <c r="C855" i="28"/>
  <c r="C854" i="28"/>
  <c r="C853" i="28"/>
  <c r="C852" i="28"/>
  <c r="C851" i="28"/>
  <c r="C850" i="28"/>
  <c r="C849" i="28"/>
  <c r="C848" i="28"/>
  <c r="C847" i="28"/>
  <c r="C846" i="28"/>
  <c r="C845" i="28"/>
  <c r="C844" i="28"/>
  <c r="C843" i="28"/>
  <c r="C842" i="28"/>
  <c r="C814" i="28"/>
  <c r="C813" i="28"/>
  <c r="C812" i="28"/>
  <c r="C811" i="28"/>
  <c r="C810" i="28"/>
  <c r="C809" i="28"/>
  <c r="C808" i="28"/>
  <c r="C807" i="28"/>
  <c r="C806" i="28"/>
  <c r="C805" i="28"/>
  <c r="C804" i="28"/>
  <c r="C803" i="28"/>
  <c r="C802" i="28"/>
  <c r="C801" i="28"/>
  <c r="C800" i="28"/>
  <c r="C799" i="28"/>
  <c r="C798" i="28"/>
  <c r="C797" i="28"/>
  <c r="C796" i="28"/>
  <c r="C795" i="28"/>
  <c r="C794" i="28"/>
  <c r="C793" i="28"/>
  <c r="C792" i="28"/>
  <c r="C791" i="28"/>
  <c r="C790" i="28"/>
  <c r="C789" i="28"/>
  <c r="C788" i="28"/>
  <c r="C787" i="28"/>
  <c r="C786" i="28"/>
  <c r="C785" i="28"/>
  <c r="C784" i="28"/>
  <c r="C783" i="28"/>
  <c r="C782" i="28"/>
  <c r="C781" i="28"/>
  <c r="C780" i="28"/>
  <c r="C779" i="28"/>
  <c r="C778" i="28"/>
  <c r="C777" i="28"/>
  <c r="C776" i="28"/>
  <c r="C775" i="28"/>
  <c r="C774" i="28"/>
  <c r="C773" i="28"/>
  <c r="C769" i="28"/>
  <c r="C768" i="28"/>
  <c r="C767" i="28"/>
  <c r="C766" i="28"/>
  <c r="C765" i="28"/>
  <c r="C764" i="28"/>
  <c r="C763" i="28"/>
  <c r="C762" i="28"/>
  <c r="C761" i="28"/>
  <c r="C760" i="28"/>
  <c r="C759" i="28"/>
  <c r="C758" i="28"/>
  <c r="C757" i="28"/>
  <c r="C756" i="28"/>
  <c r="C755" i="28"/>
  <c r="C754" i="28"/>
  <c r="C753" i="28"/>
  <c r="C752" i="28"/>
  <c r="C751" i="28"/>
  <c r="C750" i="28"/>
  <c r="C749" i="28"/>
  <c r="C748" i="28"/>
  <c r="C747" i="28"/>
  <c r="C746" i="28"/>
  <c r="C745" i="28"/>
  <c r="C744" i="28"/>
  <c r="C743" i="28"/>
  <c r="C742" i="28"/>
  <c r="C741" i="28"/>
  <c r="C740" i="28"/>
  <c r="C739" i="28"/>
  <c r="C738" i="28"/>
  <c r="C737" i="28"/>
  <c r="C736" i="28"/>
  <c r="C735" i="28"/>
  <c r="C731" i="28"/>
  <c r="C730" i="28"/>
  <c r="C729" i="28"/>
  <c r="C728" i="28"/>
  <c r="C727" i="28"/>
  <c r="C726" i="28"/>
  <c r="C725" i="28"/>
  <c r="C724" i="28"/>
  <c r="C723" i="28"/>
  <c r="C722" i="28"/>
  <c r="C721" i="28"/>
  <c r="C720" i="28"/>
  <c r="C719" i="28"/>
  <c r="C718" i="28"/>
  <c r="C717" i="28"/>
  <c r="C716" i="28"/>
  <c r="C715" i="28"/>
  <c r="C714" i="28"/>
  <c r="C713" i="28"/>
  <c r="C712" i="28"/>
  <c r="C711" i="28"/>
  <c r="C710" i="28"/>
  <c r="C709" i="28"/>
  <c r="C708" i="28"/>
  <c r="C707" i="28"/>
  <c r="C706" i="28"/>
  <c r="C705" i="28"/>
  <c r="C704" i="28"/>
  <c r="C703" i="28"/>
  <c r="C702" i="28"/>
  <c r="C701" i="28"/>
  <c r="C700" i="28"/>
  <c r="C699" i="28"/>
  <c r="C698" i="28"/>
  <c r="C697" i="28"/>
  <c r="C696" i="28"/>
  <c r="C695" i="28"/>
  <c r="C694" i="28"/>
  <c r="C693" i="28"/>
  <c r="C692" i="28"/>
  <c r="C691" i="28"/>
  <c r="C690" i="28"/>
  <c r="C689" i="28"/>
  <c r="C688" i="28"/>
  <c r="C687" i="28"/>
  <c r="C686" i="28"/>
  <c r="C685" i="28"/>
  <c r="C684" i="28"/>
  <c r="C683" i="28"/>
  <c r="C682" i="28"/>
  <c r="C681" i="28"/>
  <c r="C680" i="28"/>
  <c r="C679" i="28"/>
  <c r="C678" i="28"/>
  <c r="C677" i="28"/>
  <c r="C676" i="28"/>
  <c r="C675" i="28"/>
  <c r="C674" i="28"/>
  <c r="C673" i="28"/>
  <c r="C672" i="28"/>
  <c r="C671" i="28"/>
  <c r="C670" i="28"/>
  <c r="C669" i="28"/>
  <c r="C668" i="28"/>
  <c r="C667" i="28"/>
  <c r="C666" i="28"/>
  <c r="C665" i="28"/>
  <c r="C664" i="28"/>
  <c r="C663" i="28"/>
  <c r="C662" i="28"/>
  <c r="C661" i="28"/>
  <c r="C660" i="28"/>
  <c r="C659" i="28"/>
  <c r="C658" i="28"/>
  <c r="C657" i="28"/>
  <c r="C656" i="28"/>
  <c r="C655" i="28"/>
  <c r="C654" i="28"/>
  <c r="C653" i="28"/>
  <c r="C652" i="28"/>
  <c r="C651" i="28"/>
  <c r="C650" i="28"/>
  <c r="C649" i="28"/>
  <c r="C648" i="28"/>
  <c r="C647" i="28"/>
  <c r="C646" i="28"/>
  <c r="C645" i="28"/>
  <c r="C644" i="28"/>
  <c r="C643" i="28"/>
  <c r="C642" i="28"/>
  <c r="C641" i="28"/>
  <c r="C640" i="28"/>
  <c r="C639" i="28"/>
  <c r="C638" i="28"/>
  <c r="C637" i="28"/>
  <c r="C636" i="28"/>
  <c r="C635" i="28"/>
  <c r="C634" i="28"/>
  <c r="C633" i="28"/>
  <c r="C632" i="28"/>
  <c r="C631" i="28"/>
  <c r="C630" i="28"/>
  <c r="C629" i="28"/>
  <c r="C628" i="28"/>
  <c r="C627" i="28"/>
  <c r="C626" i="28"/>
  <c r="C625" i="28"/>
  <c r="C624" i="28"/>
  <c r="C623" i="28"/>
  <c r="C622" i="28"/>
  <c r="C621" i="28"/>
  <c r="C620" i="28"/>
  <c r="C619" i="28"/>
  <c r="C618" i="28"/>
  <c r="C617" i="28"/>
  <c r="C616" i="28"/>
  <c r="C615" i="28"/>
  <c r="C614" i="28"/>
  <c r="C613" i="28"/>
  <c r="C612" i="28"/>
  <c r="C611" i="28"/>
  <c r="C610" i="28"/>
  <c r="M610" i="28" s="1"/>
  <c r="L610" i="28" s="1"/>
  <c r="D610" i="28" s="1"/>
  <c r="C603" i="28"/>
  <c r="C602" i="28"/>
  <c r="C601" i="28"/>
  <c r="C600" i="28"/>
  <c r="C599" i="28"/>
  <c r="C598" i="28"/>
  <c r="C597" i="28"/>
  <c r="C596" i="28"/>
  <c r="C595" i="28"/>
  <c r="C594" i="28"/>
  <c r="C593" i="28"/>
  <c r="C592" i="28"/>
  <c r="C591" i="28"/>
  <c r="C590" i="28"/>
  <c r="C589" i="28"/>
  <c r="C588" i="28"/>
  <c r="C587" i="28"/>
  <c r="C586" i="28"/>
  <c r="C585" i="28"/>
  <c r="C584" i="28"/>
  <c r="C583" i="28"/>
  <c r="C582" i="28"/>
  <c r="C581" i="28"/>
  <c r="C579" i="28"/>
  <c r="C578" i="28"/>
  <c r="C443" i="28"/>
  <c r="C442" i="28"/>
  <c r="C441" i="28"/>
  <c r="C440" i="28"/>
  <c r="C439" i="28"/>
  <c r="C438" i="28"/>
  <c r="C437" i="28"/>
  <c r="C436" i="28"/>
  <c r="C435" i="28"/>
  <c r="C434" i="28"/>
  <c r="C433" i="28"/>
  <c r="C432" i="28"/>
  <c r="C431" i="28"/>
  <c r="C430" i="28"/>
  <c r="C429" i="28"/>
  <c r="C428" i="28"/>
  <c r="C427" i="28"/>
  <c r="C426" i="28"/>
  <c r="C425" i="28"/>
  <c r="C424" i="28"/>
  <c r="C423" i="28"/>
  <c r="C422" i="28"/>
  <c r="C421" i="28"/>
  <c r="C420" i="28"/>
  <c r="C419" i="28"/>
  <c r="C418" i="28"/>
  <c r="C417" i="28"/>
  <c r="C416" i="28"/>
  <c r="C415" i="28"/>
  <c r="C414" i="28"/>
  <c r="C413" i="28"/>
  <c r="C412" i="28"/>
  <c r="C411" i="28"/>
  <c r="C410" i="28"/>
  <c r="C409" i="28"/>
  <c r="C408" i="28"/>
  <c r="C407" i="28"/>
  <c r="C406" i="28"/>
  <c r="C405" i="28"/>
  <c r="C404" i="28"/>
  <c r="C403" i="28"/>
  <c r="C402" i="28"/>
  <c r="C401" i="28"/>
  <c r="C400" i="28"/>
  <c r="C399" i="28"/>
  <c r="C398" i="28"/>
  <c r="C397" i="28"/>
  <c r="C396" i="28"/>
  <c r="C395" i="28"/>
  <c r="C394" i="28"/>
  <c r="C393" i="28"/>
  <c r="C392" i="28"/>
  <c r="C391" i="28"/>
  <c r="C390" i="28"/>
  <c r="C389" i="28"/>
  <c r="C388" i="28"/>
  <c r="C387" i="28"/>
  <c r="C385" i="28"/>
  <c r="C384" i="28"/>
  <c r="C383" i="28"/>
  <c r="C382" i="28"/>
  <c r="C381" i="28"/>
  <c r="C380" i="28"/>
  <c r="C379" i="28"/>
  <c r="C378" i="28"/>
  <c r="C377" i="28"/>
  <c r="C376" i="28"/>
  <c r="C375" i="28"/>
  <c r="C374" i="28"/>
  <c r="C373" i="28"/>
  <c r="C372" i="28"/>
  <c r="C371" i="28"/>
  <c r="C370" i="28"/>
  <c r="C369" i="28"/>
  <c r="C368" i="28"/>
  <c r="C367" i="28"/>
  <c r="C366" i="28"/>
  <c r="C365" i="28"/>
  <c r="C364" i="28"/>
  <c r="C363" i="28"/>
  <c r="C362" i="28"/>
  <c r="C361" i="28"/>
  <c r="C360" i="28"/>
  <c r="C359" i="28"/>
  <c r="C358" i="28"/>
  <c r="C357" i="28"/>
  <c r="C356" i="28"/>
  <c r="C355" i="28"/>
  <c r="C354" i="28"/>
  <c r="C353" i="28"/>
  <c r="C352" i="28"/>
  <c r="C351" i="28"/>
  <c r="C350" i="28"/>
  <c r="C349" i="28"/>
  <c r="C348" i="28"/>
  <c r="C347" i="28"/>
  <c r="C346" i="28"/>
  <c r="C345" i="28"/>
  <c r="C344" i="28"/>
  <c r="C343" i="28"/>
  <c r="C342" i="28"/>
  <c r="C341" i="28"/>
  <c r="C340" i="28"/>
  <c r="C339" i="28"/>
  <c r="C338" i="28"/>
  <c r="C337" i="28"/>
  <c r="C336" i="28"/>
  <c r="C335" i="28"/>
  <c r="C334" i="28"/>
  <c r="C333" i="28"/>
  <c r="C332" i="28"/>
  <c r="C331" i="28"/>
  <c r="C330" i="28"/>
  <c r="C329" i="28"/>
  <c r="C328" i="28"/>
  <c r="C327" i="28"/>
  <c r="C326" i="28"/>
  <c r="C325" i="28"/>
  <c r="C324" i="28"/>
  <c r="C323" i="28"/>
  <c r="C322" i="28"/>
  <c r="C321" i="28"/>
  <c r="C320" i="28"/>
  <c r="C319" i="28"/>
  <c r="C318" i="28"/>
  <c r="C317" i="28"/>
  <c r="C316" i="28"/>
  <c r="C315" i="28"/>
  <c r="C314" i="28"/>
  <c r="C313" i="28"/>
  <c r="C312" i="28"/>
  <c r="C311" i="28"/>
  <c r="C310" i="28"/>
  <c r="C309" i="28"/>
  <c r="C308" i="28"/>
  <c r="C307" i="28"/>
  <c r="C306" i="28"/>
  <c r="C305" i="28"/>
  <c r="C304" i="28"/>
  <c r="C303" i="28"/>
  <c r="C302" i="28"/>
  <c r="C301" i="28"/>
  <c r="C300" i="28"/>
  <c r="C299" i="28"/>
  <c r="C298" i="28"/>
  <c r="C297" i="28"/>
  <c r="C296" i="28"/>
  <c r="C295" i="28"/>
  <c r="C294" i="28"/>
  <c r="C293" i="28"/>
  <c r="C292" i="28"/>
  <c r="C291" i="28"/>
  <c r="C290" i="28"/>
  <c r="C289" i="28"/>
  <c r="C288" i="28"/>
  <c r="C287" i="28"/>
  <c r="C286" i="28"/>
  <c r="C285" i="28"/>
  <c r="C284" i="28"/>
  <c r="C283" i="28"/>
  <c r="C282" i="28"/>
  <c r="C281" i="28"/>
  <c r="C280" i="28"/>
  <c r="C279" i="28"/>
  <c r="C278" i="28"/>
  <c r="C277" i="28"/>
  <c r="C276" i="28"/>
  <c r="C275" i="28"/>
  <c r="C274" i="28"/>
  <c r="C273" i="28"/>
  <c r="C272" i="28"/>
  <c r="C271" i="28"/>
  <c r="C270" i="28"/>
  <c r="C269" i="28"/>
  <c r="C268" i="28"/>
  <c r="C267" i="28"/>
  <c r="C266" i="28"/>
  <c r="C265" i="28"/>
  <c r="C264" i="28"/>
  <c r="C263" i="28"/>
  <c r="C262" i="28"/>
  <c r="C260" i="28"/>
  <c r="C259" i="28"/>
  <c r="C258" i="28"/>
  <c r="C257" i="28"/>
  <c r="C256" i="28"/>
  <c r="C255" i="28"/>
  <c r="C254" i="28"/>
  <c r="C253" i="28"/>
  <c r="C252" i="28"/>
  <c r="C251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220" i="28"/>
  <c r="C219" i="28"/>
  <c r="C218" i="28"/>
  <c r="C217" i="28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78" i="28"/>
  <c r="C177" i="28"/>
  <c r="C176" i="28"/>
  <c r="C175" i="28"/>
  <c r="C174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6" i="28"/>
  <c r="C135" i="28"/>
  <c r="C134" i="28"/>
  <c r="C133" i="28"/>
  <c r="C132" i="28"/>
  <c r="C131" i="28"/>
  <c r="C130" i="28"/>
  <c r="C129" i="28"/>
  <c r="C128" i="28"/>
  <c r="C127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M86" i="28" s="1"/>
  <c r="C84" i="28"/>
  <c r="C83" i="28"/>
  <c r="C82" i="28"/>
  <c r="C81" i="28"/>
  <c r="C80" i="28"/>
  <c r="M81" i="28" s="1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38" i="28"/>
  <c r="C37" i="28"/>
  <c r="C36" i="28"/>
  <c r="C35" i="28"/>
  <c r="N23" i="28" l="1"/>
  <c r="M23" i="28" s="1"/>
  <c r="L23" i="28" s="1"/>
  <c r="M1266" i="28"/>
  <c r="L1266" i="28" s="1"/>
  <c r="D1266" i="28" s="1"/>
  <c r="M1057" i="28"/>
  <c r="L1057" i="28" s="1"/>
  <c r="D1057" i="28" s="1"/>
  <c r="M1081" i="28"/>
  <c r="L1081" i="28" s="1"/>
  <c r="D1081" i="28" s="1"/>
  <c r="M1105" i="28"/>
  <c r="L1105" i="28" s="1"/>
  <c r="D1105" i="28" s="1"/>
  <c r="M1129" i="28"/>
  <c r="L1129" i="28" s="1"/>
  <c r="D1129" i="28" s="1"/>
  <c r="N29" i="28"/>
  <c r="M29" i="28" s="1"/>
  <c r="L29" i="28" s="1"/>
  <c r="M958" i="28"/>
  <c r="L958" i="28" s="1"/>
  <c r="D958" i="28" s="1"/>
  <c r="M982" i="28"/>
  <c r="L982" i="28" s="1"/>
  <c r="D982" i="28" s="1"/>
  <c r="M1006" i="28"/>
  <c r="L1006" i="28" s="1"/>
  <c r="D1006" i="28" s="1"/>
  <c r="M1030" i="28"/>
  <c r="L1030" i="28" s="1"/>
  <c r="D1030" i="28" s="1"/>
  <c r="M1054" i="28"/>
  <c r="L1054" i="28" s="1"/>
  <c r="D1054" i="28" s="1"/>
  <c r="M1078" i="28"/>
  <c r="L1078" i="28" s="1"/>
  <c r="D1078" i="28" s="1"/>
  <c r="M1102" i="28"/>
  <c r="L1102" i="28" s="1"/>
  <c r="D1102" i="28" s="1"/>
  <c r="M1126" i="28"/>
  <c r="L1126" i="28" s="1"/>
  <c r="D1126" i="28" s="1"/>
  <c r="M1150" i="28"/>
  <c r="L1150" i="28" s="1"/>
  <c r="D1150" i="28" s="1"/>
  <c r="M1174" i="28"/>
  <c r="L1174" i="28" s="1"/>
  <c r="D1174" i="28" s="1"/>
  <c r="N22" i="28"/>
  <c r="M22" i="28" s="1"/>
  <c r="L22" i="28" s="1"/>
  <c r="N19" i="28"/>
  <c r="M19" i="28" s="1"/>
  <c r="L19" i="28" s="1"/>
  <c r="M961" i="28"/>
  <c r="L961" i="28" s="1"/>
  <c r="D961" i="28" s="1"/>
  <c r="M985" i="28"/>
  <c r="L985" i="28" s="1"/>
  <c r="D985" i="28" s="1"/>
  <c r="M1009" i="28"/>
  <c r="L1009" i="28" s="1"/>
  <c r="D1009" i="28" s="1"/>
  <c r="N20" i="28"/>
  <c r="M20" i="28" s="1"/>
  <c r="L20" i="28" s="1"/>
  <c r="N26" i="28"/>
  <c r="M26" i="28" s="1"/>
  <c r="L26" i="28" s="1"/>
  <c r="M48" i="28"/>
  <c r="L48" i="28" s="1"/>
  <c r="D48" i="28" s="1"/>
  <c r="M56" i="28"/>
  <c r="L56" i="28" s="1"/>
  <c r="D56" i="28" s="1"/>
  <c r="M64" i="28"/>
  <c r="L64" i="28" s="1"/>
  <c r="D64" i="28" s="1"/>
  <c r="M72" i="28"/>
  <c r="L72" i="28" s="1"/>
  <c r="D72" i="28" s="1"/>
  <c r="M88" i="28"/>
  <c r="L88" i="28" s="1"/>
  <c r="D88" i="28" s="1"/>
  <c r="N28" i="28"/>
  <c r="M28" i="28" s="1"/>
  <c r="L28" i="28" s="1"/>
  <c r="C28" i="28" s="1"/>
  <c r="M38" i="28"/>
  <c r="L38" i="28" s="1"/>
  <c r="D38" i="28" s="1"/>
  <c r="M82" i="28"/>
  <c r="L81" i="28" s="1"/>
  <c r="N24" i="28"/>
  <c r="M24" i="28" s="1"/>
  <c r="L24" i="28" s="1"/>
  <c r="N25" i="28"/>
  <c r="M25" i="28" s="1"/>
  <c r="L25" i="28" s="1"/>
  <c r="N27" i="28"/>
  <c r="M27" i="28" s="1"/>
  <c r="L27" i="28" s="1"/>
  <c r="N18" i="28"/>
  <c r="M18" i="28" s="1"/>
  <c r="L18" i="28" s="1"/>
  <c r="N21" i="28"/>
  <c r="M21" i="28" s="1"/>
  <c r="L21" i="28" s="1"/>
  <c r="M965" i="28"/>
  <c r="L965" i="28" s="1"/>
  <c r="D965" i="28" s="1"/>
  <c r="M966" i="28"/>
  <c r="L966" i="28" s="1"/>
  <c r="D966" i="28" s="1"/>
  <c r="M990" i="28"/>
  <c r="L990" i="28" s="1"/>
  <c r="D990" i="28" s="1"/>
  <c r="M989" i="28"/>
  <c r="L989" i="28" s="1"/>
  <c r="D989" i="28" s="1"/>
  <c r="M1014" i="28"/>
  <c r="L1014" i="28" s="1"/>
  <c r="D1014" i="28" s="1"/>
  <c r="M1013" i="28"/>
  <c r="L1013" i="28" s="1"/>
  <c r="D1013" i="28" s="1"/>
  <c r="M1038" i="28"/>
  <c r="L1038" i="28" s="1"/>
  <c r="D1038" i="28" s="1"/>
  <c r="M1037" i="28"/>
  <c r="L1037" i="28" s="1"/>
  <c r="D1037" i="28" s="1"/>
  <c r="M1062" i="28"/>
  <c r="L1062" i="28" s="1"/>
  <c r="D1062" i="28" s="1"/>
  <c r="M1061" i="28"/>
  <c r="L1061" i="28" s="1"/>
  <c r="D1061" i="28" s="1"/>
  <c r="M1086" i="28"/>
  <c r="L1086" i="28" s="1"/>
  <c r="D1086" i="28" s="1"/>
  <c r="M1085" i="28"/>
  <c r="L1085" i="28" s="1"/>
  <c r="D1085" i="28" s="1"/>
  <c r="M1109" i="28"/>
  <c r="L1109" i="28" s="1"/>
  <c r="D1109" i="28" s="1"/>
  <c r="M1110" i="28"/>
  <c r="L1110" i="28" s="1"/>
  <c r="D1110" i="28" s="1"/>
  <c r="M1134" i="28"/>
  <c r="L1134" i="28" s="1"/>
  <c r="D1134" i="28" s="1"/>
  <c r="M1133" i="28"/>
  <c r="L1133" i="28" s="1"/>
  <c r="D1133" i="28" s="1"/>
  <c r="M1158" i="28"/>
  <c r="L1158" i="28" s="1"/>
  <c r="D1158" i="28" s="1"/>
  <c r="M1157" i="28"/>
  <c r="L1157" i="28" s="1"/>
  <c r="D1157" i="28" s="1"/>
  <c r="M1182" i="28"/>
  <c r="L1182" i="28" s="1"/>
  <c r="D1182" i="28" s="1"/>
  <c r="M1181" i="28"/>
  <c r="L1181" i="28" s="1"/>
  <c r="D1181" i="28" s="1"/>
  <c r="M1206" i="28"/>
  <c r="L1206" i="28" s="1"/>
  <c r="D1206" i="28" s="1"/>
  <c r="M1205" i="28"/>
  <c r="L1205" i="28" s="1"/>
  <c r="D1205" i="28" s="1"/>
  <c r="M1264" i="28"/>
  <c r="L1264" i="28" s="1"/>
  <c r="D1264" i="28" s="1"/>
  <c r="M1265" i="28"/>
  <c r="L1265" i="28" s="1"/>
  <c r="D1265" i="28" s="1"/>
  <c r="M1335" i="28"/>
  <c r="L1335" i="28" s="1"/>
  <c r="D1335" i="28" s="1"/>
  <c r="M1336" i="28"/>
  <c r="L1336" i="28" s="1"/>
  <c r="D1336" i="28" s="1"/>
  <c r="M1343" i="28"/>
  <c r="L1343" i="28" s="1"/>
  <c r="D1343" i="28" s="1"/>
  <c r="M1344" i="28"/>
  <c r="L1344" i="28" s="1"/>
  <c r="D1344" i="28" s="1"/>
  <c r="M1351" i="28"/>
  <c r="L1351" i="28" s="1"/>
  <c r="D1351" i="28" s="1"/>
  <c r="M1352" i="28"/>
  <c r="L1352" i="28" s="1"/>
  <c r="D1352" i="28" s="1"/>
  <c r="M974" i="28"/>
  <c r="L974" i="28" s="1"/>
  <c r="D974" i="28" s="1"/>
  <c r="M975" i="28"/>
  <c r="L975" i="28" s="1"/>
  <c r="D975" i="28" s="1"/>
  <c r="M999" i="28"/>
  <c r="L999" i="28" s="1"/>
  <c r="D999" i="28" s="1"/>
  <c r="M998" i="28"/>
  <c r="L998" i="28" s="1"/>
  <c r="D998" i="28" s="1"/>
  <c r="M1023" i="28"/>
  <c r="L1023" i="28" s="1"/>
  <c r="D1023" i="28" s="1"/>
  <c r="M1022" i="28"/>
  <c r="L1022" i="28" s="1"/>
  <c r="D1022" i="28" s="1"/>
  <c r="M1047" i="28"/>
  <c r="L1047" i="28" s="1"/>
  <c r="D1047" i="28" s="1"/>
  <c r="M1046" i="28"/>
  <c r="L1046" i="28" s="1"/>
  <c r="D1046" i="28" s="1"/>
  <c r="M1071" i="28"/>
  <c r="L1071" i="28" s="1"/>
  <c r="D1071" i="28" s="1"/>
  <c r="M1070" i="28"/>
  <c r="L1070" i="28" s="1"/>
  <c r="D1070" i="28" s="1"/>
  <c r="M1095" i="28"/>
  <c r="L1095" i="28" s="1"/>
  <c r="D1095" i="28" s="1"/>
  <c r="M1094" i="28"/>
  <c r="L1094" i="28" s="1"/>
  <c r="D1094" i="28" s="1"/>
  <c r="M1118" i="28"/>
  <c r="L1118" i="28" s="1"/>
  <c r="D1118" i="28" s="1"/>
  <c r="M1119" i="28"/>
  <c r="L1119" i="28" s="1"/>
  <c r="D1119" i="28" s="1"/>
  <c r="M1143" i="28"/>
  <c r="L1143" i="28" s="1"/>
  <c r="D1143" i="28" s="1"/>
  <c r="M1142" i="28"/>
  <c r="L1142" i="28" s="1"/>
  <c r="D1142" i="28" s="1"/>
  <c r="M1167" i="28"/>
  <c r="L1167" i="28" s="1"/>
  <c r="D1167" i="28" s="1"/>
  <c r="M1166" i="28"/>
  <c r="L1166" i="28" s="1"/>
  <c r="D1166" i="28" s="1"/>
  <c r="M1190" i="28"/>
  <c r="L1190" i="28" s="1"/>
  <c r="D1190" i="28" s="1"/>
  <c r="M1191" i="28"/>
  <c r="L1191" i="28" s="1"/>
  <c r="D1191" i="28" s="1"/>
  <c r="M1198" i="28"/>
  <c r="L1198" i="28" s="1"/>
  <c r="D1198" i="28" s="1"/>
  <c r="M1215" i="28"/>
  <c r="L1215" i="28" s="1"/>
  <c r="D1215" i="28" s="1"/>
  <c r="M1214" i="28"/>
  <c r="L1214" i="28" s="1"/>
  <c r="D1214" i="28" s="1"/>
  <c r="M1250" i="28"/>
  <c r="L1250" i="28" s="1"/>
  <c r="D1250" i="28" s="1"/>
  <c r="M1249" i="28"/>
  <c r="L1249" i="28" s="1"/>
  <c r="D1249" i="28" s="1"/>
  <c r="M1257" i="28"/>
  <c r="L1257" i="28" s="1"/>
  <c r="D1257" i="28" s="1"/>
  <c r="M1274" i="28"/>
  <c r="L1274" i="28" s="1"/>
  <c r="D1274" i="28" s="1"/>
  <c r="M1273" i="28"/>
  <c r="L1273" i="28" s="1"/>
  <c r="D1273" i="28" s="1"/>
  <c r="M969" i="28"/>
  <c r="L969" i="28" s="1"/>
  <c r="D969" i="28" s="1"/>
  <c r="M968" i="28"/>
  <c r="L968" i="28" s="1"/>
  <c r="D968" i="28" s="1"/>
  <c r="M132" i="28"/>
  <c r="L132" i="28" s="1"/>
  <c r="D132" i="28" s="1"/>
  <c r="M131" i="28"/>
  <c r="L131" i="28" s="1"/>
  <c r="D131" i="28" s="1"/>
  <c r="M141" i="28"/>
  <c r="L141" i="28" s="1"/>
  <c r="D141" i="28" s="1"/>
  <c r="M140" i="28"/>
  <c r="L140" i="28" s="1"/>
  <c r="D140" i="28" s="1"/>
  <c r="M148" i="28"/>
  <c r="L148" i="28" s="1"/>
  <c r="D148" i="28" s="1"/>
  <c r="M149" i="28"/>
  <c r="L149" i="28" s="1"/>
  <c r="D149" i="28" s="1"/>
  <c r="M157" i="28"/>
  <c r="L157" i="28" s="1"/>
  <c r="D157" i="28" s="1"/>
  <c r="M156" i="28"/>
  <c r="L156" i="28" s="1"/>
  <c r="D156" i="28" s="1"/>
  <c r="M164" i="28"/>
  <c r="L164" i="28" s="1"/>
  <c r="D164" i="28" s="1"/>
  <c r="M165" i="28"/>
  <c r="L165" i="28" s="1"/>
  <c r="D165" i="28" s="1"/>
  <c r="M173" i="28"/>
  <c r="L173" i="28" s="1"/>
  <c r="D173" i="28" s="1"/>
  <c r="M172" i="28"/>
  <c r="L172" i="28" s="1"/>
  <c r="D172" i="28" s="1"/>
  <c r="M180" i="28"/>
  <c r="L180" i="28" s="1"/>
  <c r="D180" i="28" s="1"/>
  <c r="M181" i="28"/>
  <c r="L181" i="28" s="1"/>
  <c r="D181" i="28" s="1"/>
  <c r="M189" i="28"/>
  <c r="L189" i="28" s="1"/>
  <c r="D189" i="28" s="1"/>
  <c r="M188" i="28"/>
  <c r="L188" i="28" s="1"/>
  <c r="D188" i="28" s="1"/>
  <c r="M197" i="28"/>
  <c r="L197" i="28" s="1"/>
  <c r="D197" i="28" s="1"/>
  <c r="M196" i="28"/>
  <c r="L196" i="28" s="1"/>
  <c r="D196" i="28" s="1"/>
  <c r="M205" i="28"/>
  <c r="L205" i="28" s="1"/>
  <c r="D205" i="28" s="1"/>
  <c r="M204" i="28"/>
  <c r="L204" i="28" s="1"/>
  <c r="D204" i="28" s="1"/>
  <c r="M213" i="28"/>
  <c r="L213" i="28" s="1"/>
  <c r="D213" i="28" s="1"/>
  <c r="M212" i="28"/>
  <c r="L212" i="28" s="1"/>
  <c r="D212" i="28" s="1"/>
  <c r="M221" i="28"/>
  <c r="L221" i="28" s="1"/>
  <c r="D221" i="28" s="1"/>
  <c r="M220" i="28"/>
  <c r="L220" i="28" s="1"/>
  <c r="D220" i="28" s="1"/>
  <c r="M229" i="28"/>
  <c r="L229" i="28" s="1"/>
  <c r="D229" i="28" s="1"/>
  <c r="M228" i="28"/>
  <c r="L228" i="28" s="1"/>
  <c r="D228" i="28" s="1"/>
  <c r="M237" i="28"/>
  <c r="L237" i="28" s="1"/>
  <c r="D237" i="28" s="1"/>
  <c r="M236" i="28"/>
  <c r="L236" i="28" s="1"/>
  <c r="D236" i="28" s="1"/>
  <c r="M245" i="28"/>
  <c r="L245" i="28" s="1"/>
  <c r="D245" i="28" s="1"/>
  <c r="M244" i="28"/>
  <c r="L244" i="28" s="1"/>
  <c r="D244" i="28" s="1"/>
  <c r="M253" i="28"/>
  <c r="L253" i="28" s="1"/>
  <c r="D253" i="28" s="1"/>
  <c r="M252" i="28"/>
  <c r="L252" i="28" s="1"/>
  <c r="D252" i="28" s="1"/>
  <c r="M449" i="28"/>
  <c r="L449" i="28" s="1"/>
  <c r="D449" i="28" s="1"/>
  <c r="M450" i="28"/>
  <c r="L450" i="28" s="1"/>
  <c r="D450" i="28" s="1"/>
  <c r="M641" i="28"/>
  <c r="L641" i="28" s="1"/>
  <c r="D641" i="28" s="1"/>
  <c r="M642" i="28"/>
  <c r="L642" i="28" s="1"/>
  <c r="D642" i="28" s="1"/>
  <c r="M650" i="28"/>
  <c r="L650" i="28" s="1"/>
  <c r="D650" i="28" s="1"/>
  <c r="M649" i="28"/>
  <c r="L649" i="28" s="1"/>
  <c r="D649" i="28" s="1"/>
  <c r="M658" i="28"/>
  <c r="L658" i="28" s="1"/>
  <c r="D658" i="28" s="1"/>
  <c r="M657" i="28"/>
  <c r="L657" i="28" s="1"/>
  <c r="D657" i="28" s="1"/>
  <c r="M666" i="28"/>
  <c r="L666" i="28" s="1"/>
  <c r="D666" i="28" s="1"/>
  <c r="M665" i="28"/>
  <c r="L665" i="28" s="1"/>
  <c r="D665" i="28" s="1"/>
  <c r="M673" i="28"/>
  <c r="L673" i="28" s="1"/>
  <c r="D673" i="28" s="1"/>
  <c r="M674" i="28"/>
  <c r="L674" i="28" s="1"/>
  <c r="D674" i="28" s="1"/>
  <c r="M682" i="28"/>
  <c r="L682" i="28" s="1"/>
  <c r="D682" i="28" s="1"/>
  <c r="M681" i="28"/>
  <c r="L681" i="28" s="1"/>
  <c r="D681" i="28" s="1"/>
  <c r="M690" i="28"/>
  <c r="L690" i="28" s="1"/>
  <c r="D690" i="28" s="1"/>
  <c r="M689" i="28"/>
  <c r="L689" i="28" s="1"/>
  <c r="D689" i="28" s="1"/>
  <c r="M698" i="28"/>
  <c r="L698" i="28" s="1"/>
  <c r="D698" i="28" s="1"/>
  <c r="M697" i="28"/>
  <c r="L697" i="28" s="1"/>
  <c r="D697" i="28" s="1"/>
  <c r="M706" i="28"/>
  <c r="L706" i="28" s="1"/>
  <c r="D706" i="28" s="1"/>
  <c r="M705" i="28"/>
  <c r="L705" i="28" s="1"/>
  <c r="D705" i="28" s="1"/>
  <c r="M740" i="28"/>
  <c r="L740" i="28" s="1"/>
  <c r="D740" i="28" s="1"/>
  <c r="M741" i="28"/>
  <c r="L741" i="28" s="1"/>
  <c r="D741" i="28" s="1"/>
  <c r="M748" i="28"/>
  <c r="L748" i="28" s="1"/>
  <c r="D748" i="28" s="1"/>
  <c r="M749" i="28"/>
  <c r="L749" i="28" s="1"/>
  <c r="D749" i="28" s="1"/>
  <c r="M953" i="28"/>
  <c r="L953" i="28" s="1"/>
  <c r="D953" i="28" s="1"/>
  <c r="M954" i="28"/>
  <c r="L954" i="28" s="1"/>
  <c r="D954" i="28" s="1"/>
  <c r="C27" i="28"/>
  <c r="M50" i="28"/>
  <c r="L50" i="28" s="1"/>
  <c r="D50" i="28" s="1"/>
  <c r="M58" i="28"/>
  <c r="L58" i="28" s="1"/>
  <c r="D58" i="28" s="1"/>
  <c r="M66" i="28"/>
  <c r="L66" i="28" s="1"/>
  <c r="D66" i="28" s="1"/>
  <c r="M74" i="28"/>
  <c r="L74" i="28" s="1"/>
  <c r="D74" i="28" s="1"/>
  <c r="M263" i="28"/>
  <c r="L263" i="28" s="1"/>
  <c r="D263" i="28" s="1"/>
  <c r="M262" i="28"/>
  <c r="L262" i="28" s="1"/>
  <c r="D262" i="28" s="1"/>
  <c r="M271" i="28"/>
  <c r="L271" i="28" s="1"/>
  <c r="D271" i="28" s="1"/>
  <c r="M270" i="28"/>
  <c r="L270" i="28" s="1"/>
  <c r="D270" i="28" s="1"/>
  <c r="M279" i="28"/>
  <c r="L279" i="28" s="1"/>
  <c r="D279" i="28" s="1"/>
  <c r="M278" i="28"/>
  <c r="L278" i="28" s="1"/>
  <c r="D278" i="28" s="1"/>
  <c r="M287" i="28"/>
  <c r="L287" i="28" s="1"/>
  <c r="D287" i="28" s="1"/>
  <c r="M286" i="28"/>
  <c r="L286" i="28" s="1"/>
  <c r="D286" i="28" s="1"/>
  <c r="M295" i="28"/>
  <c r="L295" i="28" s="1"/>
  <c r="D295" i="28" s="1"/>
  <c r="M294" i="28"/>
  <c r="L294" i="28" s="1"/>
  <c r="D294" i="28" s="1"/>
  <c r="M303" i="28"/>
  <c r="L303" i="28" s="1"/>
  <c r="D303" i="28" s="1"/>
  <c r="M302" i="28"/>
  <c r="L302" i="28" s="1"/>
  <c r="D302" i="28" s="1"/>
  <c r="M311" i="28"/>
  <c r="L311" i="28" s="1"/>
  <c r="D311" i="28" s="1"/>
  <c r="M310" i="28"/>
  <c r="L310" i="28" s="1"/>
  <c r="D310" i="28" s="1"/>
  <c r="M318" i="28"/>
  <c r="L318" i="28" s="1"/>
  <c r="D318" i="28" s="1"/>
  <c r="M319" i="28"/>
  <c r="L319" i="28" s="1"/>
  <c r="D319" i="28" s="1"/>
  <c r="M326" i="28"/>
  <c r="L326" i="28" s="1"/>
  <c r="D326" i="28" s="1"/>
  <c r="M327" i="28"/>
  <c r="L327" i="28" s="1"/>
  <c r="D327" i="28" s="1"/>
  <c r="M334" i="28"/>
  <c r="L334" i="28" s="1"/>
  <c r="D334" i="28" s="1"/>
  <c r="M335" i="28"/>
  <c r="L335" i="28" s="1"/>
  <c r="D335" i="28" s="1"/>
  <c r="M343" i="28"/>
  <c r="L343" i="28" s="1"/>
  <c r="D343" i="28" s="1"/>
  <c r="M342" i="28"/>
  <c r="L342" i="28" s="1"/>
  <c r="D342" i="28" s="1"/>
  <c r="M350" i="28"/>
  <c r="L350" i="28" s="1"/>
  <c r="D350" i="28" s="1"/>
  <c r="M351" i="28"/>
  <c r="L351" i="28" s="1"/>
  <c r="D351" i="28" s="1"/>
  <c r="M359" i="28"/>
  <c r="L359" i="28" s="1"/>
  <c r="D359" i="28" s="1"/>
  <c r="M358" i="28"/>
  <c r="L358" i="28" s="1"/>
  <c r="D358" i="28" s="1"/>
  <c r="M367" i="28"/>
  <c r="L367" i="28" s="1"/>
  <c r="D367" i="28" s="1"/>
  <c r="M366" i="28"/>
  <c r="L366" i="28" s="1"/>
  <c r="D366" i="28" s="1"/>
  <c r="M375" i="28"/>
  <c r="L375" i="28" s="1"/>
  <c r="D375" i="28" s="1"/>
  <c r="M374" i="28"/>
  <c r="L374" i="28" s="1"/>
  <c r="D374" i="28" s="1"/>
  <c r="M392" i="28"/>
  <c r="L392" i="28" s="1"/>
  <c r="D392" i="28" s="1"/>
  <c r="M391" i="28"/>
  <c r="L391" i="28" s="1"/>
  <c r="D391" i="28" s="1"/>
  <c r="M400" i="28"/>
  <c r="L400" i="28" s="1"/>
  <c r="D400" i="28" s="1"/>
  <c r="M399" i="28"/>
  <c r="L399" i="28" s="1"/>
  <c r="D399" i="28" s="1"/>
  <c r="M408" i="28"/>
  <c r="L408" i="28" s="1"/>
  <c r="D408" i="28" s="1"/>
  <c r="M407" i="28"/>
  <c r="L407" i="28" s="1"/>
  <c r="D407" i="28" s="1"/>
  <c r="M416" i="28"/>
  <c r="L416" i="28" s="1"/>
  <c r="D416" i="28" s="1"/>
  <c r="M415" i="28"/>
  <c r="L415" i="28" s="1"/>
  <c r="D415" i="28" s="1"/>
  <c r="M424" i="28"/>
  <c r="L424" i="28" s="1"/>
  <c r="D424" i="28" s="1"/>
  <c r="M423" i="28"/>
  <c r="L423" i="28" s="1"/>
  <c r="D423" i="28" s="1"/>
  <c r="M134" i="28"/>
  <c r="L134" i="28" s="1"/>
  <c r="D134" i="28" s="1"/>
  <c r="M133" i="28"/>
  <c r="L133" i="28" s="1"/>
  <c r="D133" i="28" s="1"/>
  <c r="M142" i="28"/>
  <c r="L142" i="28" s="1"/>
  <c r="D142" i="28" s="1"/>
  <c r="M143" i="28"/>
  <c r="L143" i="28" s="1"/>
  <c r="D143" i="28" s="1"/>
  <c r="M151" i="28"/>
  <c r="L151" i="28" s="1"/>
  <c r="D151" i="28" s="1"/>
  <c r="M150" i="28"/>
  <c r="L150" i="28" s="1"/>
  <c r="D150" i="28" s="1"/>
  <c r="M159" i="28"/>
  <c r="L159" i="28" s="1"/>
  <c r="D159" i="28" s="1"/>
  <c r="M158" i="28"/>
  <c r="L158" i="28" s="1"/>
  <c r="D158" i="28" s="1"/>
  <c r="M167" i="28"/>
  <c r="L167" i="28" s="1"/>
  <c r="D167" i="28" s="1"/>
  <c r="M166" i="28"/>
  <c r="L166" i="28" s="1"/>
  <c r="D166" i="28" s="1"/>
  <c r="M175" i="28"/>
  <c r="L175" i="28" s="1"/>
  <c r="D175" i="28" s="1"/>
  <c r="M174" i="28"/>
  <c r="L174" i="28" s="1"/>
  <c r="D174" i="28" s="1"/>
  <c r="M182" i="28"/>
  <c r="L182" i="28" s="1"/>
  <c r="D182" i="28" s="1"/>
  <c r="M183" i="28"/>
  <c r="L183" i="28" s="1"/>
  <c r="D183" i="28" s="1"/>
  <c r="M191" i="28"/>
  <c r="L191" i="28" s="1"/>
  <c r="D191" i="28" s="1"/>
  <c r="M190" i="28"/>
  <c r="L190" i="28" s="1"/>
  <c r="D190" i="28" s="1"/>
  <c r="M198" i="28"/>
  <c r="L198" i="28" s="1"/>
  <c r="D198" i="28" s="1"/>
  <c r="M199" i="28"/>
  <c r="L199" i="28" s="1"/>
  <c r="D199" i="28" s="1"/>
  <c r="M207" i="28"/>
  <c r="L207" i="28" s="1"/>
  <c r="D207" i="28" s="1"/>
  <c r="M206" i="28"/>
  <c r="L206" i="28" s="1"/>
  <c r="D206" i="28" s="1"/>
  <c r="M214" i="28"/>
  <c r="L214" i="28" s="1"/>
  <c r="D214" i="28" s="1"/>
  <c r="M215" i="28"/>
  <c r="L215" i="28" s="1"/>
  <c r="D215" i="28" s="1"/>
  <c r="M223" i="28"/>
  <c r="L223" i="28" s="1"/>
  <c r="D223" i="28" s="1"/>
  <c r="M222" i="28"/>
  <c r="L222" i="28" s="1"/>
  <c r="D222" i="28" s="1"/>
  <c r="M230" i="28"/>
  <c r="L230" i="28" s="1"/>
  <c r="D230" i="28" s="1"/>
  <c r="M231" i="28"/>
  <c r="L231" i="28" s="1"/>
  <c r="D231" i="28" s="1"/>
  <c r="M239" i="28"/>
  <c r="L239" i="28" s="1"/>
  <c r="D239" i="28" s="1"/>
  <c r="M238" i="28"/>
  <c r="L238" i="28" s="1"/>
  <c r="D238" i="28" s="1"/>
  <c r="M246" i="28"/>
  <c r="L246" i="28" s="1"/>
  <c r="D246" i="28" s="1"/>
  <c r="M247" i="28"/>
  <c r="L247" i="28" s="1"/>
  <c r="D247" i="28" s="1"/>
  <c r="M255" i="28"/>
  <c r="L255" i="28" s="1"/>
  <c r="D255" i="28" s="1"/>
  <c r="M254" i="28"/>
  <c r="L254" i="28" s="1"/>
  <c r="D254" i="28" s="1"/>
  <c r="M452" i="28"/>
  <c r="L452" i="28" s="1"/>
  <c r="D452" i="28" s="1"/>
  <c r="M451" i="28"/>
  <c r="L451" i="28" s="1"/>
  <c r="D451" i="28" s="1"/>
  <c r="M643" i="28"/>
  <c r="L643" i="28" s="1"/>
  <c r="D643" i="28" s="1"/>
  <c r="M644" i="28"/>
  <c r="L644" i="28" s="1"/>
  <c r="D644" i="28" s="1"/>
  <c r="M652" i="28"/>
  <c r="L652" i="28" s="1"/>
  <c r="D652" i="28" s="1"/>
  <c r="M651" i="28"/>
  <c r="L651" i="28" s="1"/>
  <c r="D651" i="28" s="1"/>
  <c r="M660" i="28"/>
  <c r="L660" i="28" s="1"/>
  <c r="D660" i="28" s="1"/>
  <c r="M659" i="28"/>
  <c r="L659" i="28" s="1"/>
  <c r="D659" i="28" s="1"/>
  <c r="M667" i="28"/>
  <c r="L667" i="28" s="1"/>
  <c r="D667" i="28" s="1"/>
  <c r="M668" i="28"/>
  <c r="L668" i="28" s="1"/>
  <c r="D668" i="28" s="1"/>
  <c r="M675" i="28"/>
  <c r="L675" i="28" s="1"/>
  <c r="D675" i="28" s="1"/>
  <c r="M676" i="28"/>
  <c r="L676" i="28" s="1"/>
  <c r="D676" i="28" s="1"/>
  <c r="M684" i="28"/>
  <c r="L684" i="28" s="1"/>
  <c r="D684" i="28" s="1"/>
  <c r="M683" i="28"/>
  <c r="L683" i="28" s="1"/>
  <c r="D683" i="28" s="1"/>
  <c r="M692" i="28"/>
  <c r="L692" i="28" s="1"/>
  <c r="D692" i="28" s="1"/>
  <c r="M691" i="28"/>
  <c r="L691" i="28" s="1"/>
  <c r="D691" i="28" s="1"/>
  <c r="M700" i="28"/>
  <c r="L700" i="28" s="1"/>
  <c r="D700" i="28" s="1"/>
  <c r="M699" i="28"/>
  <c r="L699" i="28" s="1"/>
  <c r="D699" i="28" s="1"/>
  <c r="M707" i="28"/>
  <c r="L707" i="28" s="1"/>
  <c r="D707" i="28" s="1"/>
  <c r="M708" i="28"/>
  <c r="L708" i="28" s="1"/>
  <c r="D708" i="28" s="1"/>
  <c r="M743" i="28"/>
  <c r="L743" i="28" s="1"/>
  <c r="D743" i="28" s="1"/>
  <c r="M742" i="28"/>
  <c r="L742" i="28" s="1"/>
  <c r="D742" i="28" s="1"/>
  <c r="M946" i="28"/>
  <c r="L946" i="28" s="1"/>
  <c r="D946" i="28" s="1"/>
  <c r="M128" i="28"/>
  <c r="L128" i="28" s="1"/>
  <c r="D128" i="28" s="1"/>
  <c r="M127" i="28"/>
  <c r="L127" i="28" s="1"/>
  <c r="D127" i="28" s="1"/>
  <c r="M136" i="28"/>
  <c r="L136" i="28" s="1"/>
  <c r="D136" i="28" s="1"/>
  <c r="M135" i="28"/>
  <c r="L135" i="28" s="1"/>
  <c r="D135" i="28" s="1"/>
  <c r="M145" i="28"/>
  <c r="L145" i="28" s="1"/>
  <c r="D145" i="28" s="1"/>
  <c r="M144" i="28"/>
  <c r="L144" i="28" s="1"/>
  <c r="D144" i="28" s="1"/>
  <c r="M152" i="28"/>
  <c r="L152" i="28" s="1"/>
  <c r="D152" i="28" s="1"/>
  <c r="M153" i="28"/>
  <c r="L153" i="28" s="1"/>
  <c r="D153" i="28" s="1"/>
  <c r="M161" i="28"/>
  <c r="L161" i="28" s="1"/>
  <c r="D161" i="28" s="1"/>
  <c r="M160" i="28"/>
  <c r="L160" i="28" s="1"/>
  <c r="D160" i="28" s="1"/>
  <c r="M168" i="28"/>
  <c r="L168" i="28" s="1"/>
  <c r="D168" i="28" s="1"/>
  <c r="M169" i="28"/>
  <c r="L169" i="28" s="1"/>
  <c r="D169" i="28" s="1"/>
  <c r="M176" i="28"/>
  <c r="L176" i="28" s="1"/>
  <c r="D176" i="28" s="1"/>
  <c r="M177" i="28"/>
  <c r="L177" i="28" s="1"/>
  <c r="D177" i="28" s="1"/>
  <c r="M185" i="28"/>
  <c r="L185" i="28" s="1"/>
  <c r="D185" i="28" s="1"/>
  <c r="M184" i="28"/>
  <c r="L184" i="28" s="1"/>
  <c r="D184" i="28" s="1"/>
  <c r="M193" i="28"/>
  <c r="L193" i="28" s="1"/>
  <c r="D193" i="28" s="1"/>
  <c r="M192" i="28"/>
  <c r="L192" i="28" s="1"/>
  <c r="D192" i="28" s="1"/>
  <c r="M200" i="28"/>
  <c r="L200" i="28" s="1"/>
  <c r="D200" i="28" s="1"/>
  <c r="M201" i="28"/>
  <c r="L201" i="28" s="1"/>
  <c r="D201" i="28" s="1"/>
  <c r="M208" i="28"/>
  <c r="L208" i="28" s="1"/>
  <c r="D208" i="28" s="1"/>
  <c r="M209" i="28"/>
  <c r="L209" i="28" s="1"/>
  <c r="D209" i="28" s="1"/>
  <c r="M217" i="28"/>
  <c r="L217" i="28" s="1"/>
  <c r="D217" i="28" s="1"/>
  <c r="M216" i="28"/>
  <c r="L216" i="28" s="1"/>
  <c r="D216" i="28" s="1"/>
  <c r="M224" i="28"/>
  <c r="L224" i="28" s="1"/>
  <c r="D224" i="28" s="1"/>
  <c r="M225" i="28"/>
  <c r="L225" i="28" s="1"/>
  <c r="D225" i="28" s="1"/>
  <c r="M232" i="28"/>
  <c r="L232" i="28" s="1"/>
  <c r="D232" i="28" s="1"/>
  <c r="M233" i="28"/>
  <c r="L233" i="28" s="1"/>
  <c r="D233" i="28" s="1"/>
  <c r="M240" i="28"/>
  <c r="L240" i="28" s="1"/>
  <c r="D240" i="28" s="1"/>
  <c r="M241" i="28"/>
  <c r="L241" i="28" s="1"/>
  <c r="D241" i="28" s="1"/>
  <c r="M249" i="28"/>
  <c r="L249" i="28" s="1"/>
  <c r="D249" i="28" s="1"/>
  <c r="M248" i="28"/>
  <c r="L248" i="28" s="1"/>
  <c r="D248" i="28" s="1"/>
  <c r="M256" i="28"/>
  <c r="L256" i="28" s="1"/>
  <c r="D256" i="28" s="1"/>
  <c r="M257" i="28"/>
  <c r="L257" i="28" s="1"/>
  <c r="D257" i="28" s="1"/>
  <c r="M454" i="28"/>
  <c r="L454" i="28" s="1"/>
  <c r="D454" i="28" s="1"/>
  <c r="M453" i="28"/>
  <c r="L453" i="28" s="1"/>
  <c r="D453" i="28" s="1"/>
  <c r="M646" i="28"/>
  <c r="L646" i="28" s="1"/>
  <c r="D646" i="28" s="1"/>
  <c r="M645" i="28"/>
  <c r="L645" i="28" s="1"/>
  <c r="D645" i="28" s="1"/>
  <c r="M654" i="28"/>
  <c r="L654" i="28" s="1"/>
  <c r="D654" i="28" s="1"/>
  <c r="M653" i="28"/>
  <c r="L653" i="28" s="1"/>
  <c r="D653" i="28" s="1"/>
  <c r="M662" i="28"/>
  <c r="L662" i="28" s="1"/>
  <c r="D662" i="28" s="1"/>
  <c r="M661" i="28"/>
  <c r="L661" i="28" s="1"/>
  <c r="D661" i="28" s="1"/>
  <c r="M669" i="28"/>
  <c r="L669" i="28" s="1"/>
  <c r="D669" i="28" s="1"/>
  <c r="M670" i="28"/>
  <c r="L670" i="28" s="1"/>
  <c r="D670" i="28" s="1"/>
  <c r="M677" i="28"/>
  <c r="L677" i="28" s="1"/>
  <c r="D677" i="28" s="1"/>
  <c r="M678" i="28"/>
  <c r="L678" i="28" s="1"/>
  <c r="D678" i="28" s="1"/>
  <c r="M685" i="28"/>
  <c r="L685" i="28" s="1"/>
  <c r="D685" i="28" s="1"/>
  <c r="M686" i="28"/>
  <c r="L686" i="28" s="1"/>
  <c r="D686" i="28" s="1"/>
  <c r="M694" i="28"/>
  <c r="L694" i="28" s="1"/>
  <c r="D694" i="28" s="1"/>
  <c r="M693" i="28"/>
  <c r="L693" i="28" s="1"/>
  <c r="D693" i="28" s="1"/>
  <c r="M702" i="28"/>
  <c r="L702" i="28" s="1"/>
  <c r="D702" i="28" s="1"/>
  <c r="M701" i="28"/>
  <c r="L701" i="28" s="1"/>
  <c r="D701" i="28" s="1"/>
  <c r="M710" i="28"/>
  <c r="L710" i="28" s="1"/>
  <c r="D710" i="28" s="1"/>
  <c r="M709" i="28"/>
  <c r="L709" i="28" s="1"/>
  <c r="D709" i="28" s="1"/>
  <c r="M745" i="28"/>
  <c r="L745" i="28" s="1"/>
  <c r="D745" i="28" s="1"/>
  <c r="M744" i="28"/>
  <c r="L744" i="28" s="1"/>
  <c r="D744" i="28" s="1"/>
  <c r="M46" i="28"/>
  <c r="L46" i="28" s="1"/>
  <c r="D46" i="28" s="1"/>
  <c r="M54" i="28"/>
  <c r="L54" i="28" s="1"/>
  <c r="D54" i="28" s="1"/>
  <c r="M62" i="28"/>
  <c r="L62" i="28" s="1"/>
  <c r="D62" i="28" s="1"/>
  <c r="M70" i="28"/>
  <c r="L70" i="28" s="1"/>
  <c r="D70" i="28" s="1"/>
  <c r="M266" i="28"/>
  <c r="L266" i="28" s="1"/>
  <c r="D266" i="28" s="1"/>
  <c r="M267" i="28"/>
  <c r="L267" i="28" s="1"/>
  <c r="D267" i="28" s="1"/>
  <c r="M275" i="28"/>
  <c r="L275" i="28" s="1"/>
  <c r="D275" i="28" s="1"/>
  <c r="M274" i="28"/>
  <c r="L274" i="28" s="1"/>
  <c r="D274" i="28" s="1"/>
  <c r="M283" i="28"/>
  <c r="L283" i="28" s="1"/>
  <c r="D283" i="28" s="1"/>
  <c r="M282" i="28"/>
  <c r="L282" i="28" s="1"/>
  <c r="D282" i="28" s="1"/>
  <c r="M291" i="28"/>
  <c r="L291" i="28" s="1"/>
  <c r="D291" i="28" s="1"/>
  <c r="M290" i="28"/>
  <c r="L290" i="28" s="1"/>
  <c r="D290" i="28" s="1"/>
  <c r="M298" i="28"/>
  <c r="L298" i="28" s="1"/>
  <c r="D298" i="28" s="1"/>
  <c r="M299" i="28"/>
  <c r="L299" i="28" s="1"/>
  <c r="D299" i="28" s="1"/>
  <c r="M306" i="28"/>
  <c r="L306" i="28" s="1"/>
  <c r="D306" i="28" s="1"/>
  <c r="M307" i="28"/>
  <c r="L307" i="28" s="1"/>
  <c r="D307" i="28" s="1"/>
  <c r="M315" i="28"/>
  <c r="L315" i="28" s="1"/>
  <c r="D315" i="28" s="1"/>
  <c r="M314" i="28"/>
  <c r="L314" i="28" s="1"/>
  <c r="D314" i="28" s="1"/>
  <c r="M323" i="28"/>
  <c r="L323" i="28" s="1"/>
  <c r="D323" i="28" s="1"/>
  <c r="M322" i="28"/>
  <c r="L322" i="28" s="1"/>
  <c r="D322" i="28" s="1"/>
  <c r="M330" i="28"/>
  <c r="L330" i="28" s="1"/>
  <c r="D330" i="28" s="1"/>
  <c r="M331" i="28"/>
  <c r="L331" i="28" s="1"/>
  <c r="D331" i="28" s="1"/>
  <c r="M338" i="28"/>
  <c r="L338" i="28" s="1"/>
  <c r="D338" i="28" s="1"/>
  <c r="M339" i="28"/>
  <c r="L339" i="28" s="1"/>
  <c r="D339" i="28" s="1"/>
  <c r="M346" i="28"/>
  <c r="L346" i="28" s="1"/>
  <c r="D346" i="28" s="1"/>
  <c r="M347" i="28"/>
  <c r="L347" i="28" s="1"/>
  <c r="D347" i="28" s="1"/>
  <c r="M354" i="28"/>
  <c r="L354" i="28" s="1"/>
  <c r="D354" i="28" s="1"/>
  <c r="M355" i="28"/>
  <c r="L355" i="28" s="1"/>
  <c r="D355" i="28" s="1"/>
  <c r="M363" i="28"/>
  <c r="L363" i="28" s="1"/>
  <c r="D363" i="28" s="1"/>
  <c r="M362" i="28"/>
  <c r="L362" i="28" s="1"/>
  <c r="D362" i="28" s="1"/>
  <c r="M371" i="28"/>
  <c r="L371" i="28" s="1"/>
  <c r="D371" i="28" s="1"/>
  <c r="M370" i="28"/>
  <c r="L370" i="28" s="1"/>
  <c r="D370" i="28" s="1"/>
  <c r="M379" i="28"/>
  <c r="L379" i="28" s="1"/>
  <c r="D379" i="28" s="1"/>
  <c r="M378" i="28"/>
  <c r="L378" i="28" s="1"/>
  <c r="D378" i="28" s="1"/>
  <c r="M388" i="28"/>
  <c r="L388" i="28" s="1"/>
  <c r="D388" i="28" s="1"/>
  <c r="M387" i="28"/>
  <c r="L387" i="28" s="1"/>
  <c r="D387" i="28" s="1"/>
  <c r="M396" i="28"/>
  <c r="L396" i="28" s="1"/>
  <c r="D396" i="28" s="1"/>
  <c r="M395" i="28"/>
  <c r="L395" i="28" s="1"/>
  <c r="D395" i="28" s="1"/>
  <c r="M403" i="28"/>
  <c r="L403" i="28" s="1"/>
  <c r="D403" i="28" s="1"/>
  <c r="M404" i="28"/>
  <c r="L404" i="28" s="1"/>
  <c r="D404" i="28" s="1"/>
  <c r="M412" i="28"/>
  <c r="L412" i="28" s="1"/>
  <c r="D412" i="28" s="1"/>
  <c r="M411" i="28"/>
  <c r="L411" i="28" s="1"/>
  <c r="D411" i="28" s="1"/>
  <c r="M419" i="28"/>
  <c r="L419" i="28" s="1"/>
  <c r="D419" i="28" s="1"/>
  <c r="M420" i="28"/>
  <c r="L420" i="28" s="1"/>
  <c r="D420" i="28" s="1"/>
  <c r="M428" i="28"/>
  <c r="L428" i="28" s="1"/>
  <c r="D428" i="28" s="1"/>
  <c r="M427" i="28"/>
  <c r="L427" i="28" s="1"/>
  <c r="D427" i="28" s="1"/>
  <c r="M943" i="28"/>
  <c r="L943" i="28" s="1"/>
  <c r="D943" i="28" s="1"/>
  <c r="M942" i="28"/>
  <c r="L942" i="28" s="1"/>
  <c r="D942" i="28" s="1"/>
  <c r="M951" i="28"/>
  <c r="L951" i="28" s="1"/>
  <c r="D951" i="28" s="1"/>
  <c r="M950" i="28"/>
  <c r="L950" i="28" s="1"/>
  <c r="D950" i="28" s="1"/>
  <c r="M36" i="28"/>
  <c r="L36" i="28" s="1"/>
  <c r="D36" i="28" s="1"/>
  <c r="M80" i="28"/>
  <c r="M130" i="28"/>
  <c r="L130" i="28" s="1"/>
  <c r="D130" i="28" s="1"/>
  <c r="M129" i="28"/>
  <c r="L129" i="28" s="1"/>
  <c r="D129" i="28" s="1"/>
  <c r="M139" i="28"/>
  <c r="L139" i="28" s="1"/>
  <c r="D139" i="28" s="1"/>
  <c r="M138" i="28"/>
  <c r="L138" i="28" s="1"/>
  <c r="D138" i="28" s="1"/>
  <c r="M146" i="28"/>
  <c r="L146" i="28" s="1"/>
  <c r="D146" i="28" s="1"/>
  <c r="M147" i="28"/>
  <c r="L147" i="28" s="1"/>
  <c r="D147" i="28" s="1"/>
  <c r="M155" i="28"/>
  <c r="L155" i="28" s="1"/>
  <c r="D155" i="28" s="1"/>
  <c r="M154" i="28"/>
  <c r="L154" i="28" s="1"/>
  <c r="D154" i="28" s="1"/>
  <c r="M163" i="28"/>
  <c r="L163" i="28" s="1"/>
  <c r="D163" i="28" s="1"/>
  <c r="M162" i="28"/>
  <c r="L162" i="28" s="1"/>
  <c r="D162" i="28" s="1"/>
  <c r="M171" i="28"/>
  <c r="L171" i="28" s="1"/>
  <c r="D171" i="28" s="1"/>
  <c r="M170" i="28"/>
  <c r="L170" i="28" s="1"/>
  <c r="D170" i="28" s="1"/>
  <c r="M179" i="28"/>
  <c r="L179" i="28" s="1"/>
  <c r="D179" i="28" s="1"/>
  <c r="M178" i="28"/>
  <c r="L178" i="28" s="1"/>
  <c r="D178" i="28" s="1"/>
  <c r="M187" i="28"/>
  <c r="L187" i="28" s="1"/>
  <c r="D187" i="28" s="1"/>
  <c r="M186" i="28"/>
  <c r="L186" i="28" s="1"/>
  <c r="D186" i="28" s="1"/>
  <c r="M195" i="28"/>
  <c r="L195" i="28" s="1"/>
  <c r="D195" i="28" s="1"/>
  <c r="M194" i="28"/>
  <c r="L194" i="28" s="1"/>
  <c r="D194" i="28" s="1"/>
  <c r="M203" i="28"/>
  <c r="L203" i="28" s="1"/>
  <c r="D203" i="28" s="1"/>
  <c r="M202" i="28"/>
  <c r="L202" i="28" s="1"/>
  <c r="D202" i="28" s="1"/>
  <c r="M211" i="28"/>
  <c r="L211" i="28" s="1"/>
  <c r="D211" i="28" s="1"/>
  <c r="M210" i="28"/>
  <c r="L210" i="28" s="1"/>
  <c r="D210" i="28" s="1"/>
  <c r="M218" i="28"/>
  <c r="L218" i="28" s="1"/>
  <c r="D218" i="28" s="1"/>
  <c r="M219" i="28"/>
  <c r="L219" i="28" s="1"/>
  <c r="D219" i="28" s="1"/>
  <c r="M227" i="28"/>
  <c r="L227" i="28" s="1"/>
  <c r="D227" i="28" s="1"/>
  <c r="M226" i="28"/>
  <c r="L226" i="28" s="1"/>
  <c r="D226" i="28" s="1"/>
  <c r="M235" i="28"/>
  <c r="L235" i="28" s="1"/>
  <c r="D235" i="28" s="1"/>
  <c r="M234" i="28"/>
  <c r="L234" i="28" s="1"/>
  <c r="D234" i="28" s="1"/>
  <c r="M243" i="28"/>
  <c r="L243" i="28" s="1"/>
  <c r="D243" i="28" s="1"/>
  <c r="M242" i="28"/>
  <c r="L242" i="28" s="1"/>
  <c r="D242" i="28" s="1"/>
  <c r="M250" i="28"/>
  <c r="L250" i="28" s="1"/>
  <c r="D250" i="28" s="1"/>
  <c r="M251" i="28"/>
  <c r="L251" i="28" s="1"/>
  <c r="D251" i="28" s="1"/>
  <c r="M448" i="28"/>
  <c r="L448" i="28" s="1"/>
  <c r="D448" i="28" s="1"/>
  <c r="M447" i="28"/>
  <c r="L447" i="28" s="1"/>
  <c r="D447" i="28" s="1"/>
  <c r="M456" i="28"/>
  <c r="L456" i="28" s="1"/>
  <c r="D456" i="28" s="1"/>
  <c r="M455" i="28"/>
  <c r="L455" i="28" s="1"/>
  <c r="D455" i="28" s="1"/>
  <c r="M647" i="28"/>
  <c r="L647" i="28" s="1"/>
  <c r="D647" i="28" s="1"/>
  <c r="M648" i="28"/>
  <c r="L648" i="28" s="1"/>
  <c r="D648" i="28" s="1"/>
  <c r="M656" i="28"/>
  <c r="L656" i="28" s="1"/>
  <c r="D656" i="28" s="1"/>
  <c r="M655" i="28"/>
  <c r="L655" i="28" s="1"/>
  <c r="D655" i="28" s="1"/>
  <c r="M664" i="28"/>
  <c r="L664" i="28" s="1"/>
  <c r="D664" i="28" s="1"/>
  <c r="M663" i="28"/>
  <c r="L663" i="28" s="1"/>
  <c r="D663" i="28" s="1"/>
  <c r="M671" i="28"/>
  <c r="L671" i="28" s="1"/>
  <c r="D671" i="28" s="1"/>
  <c r="M672" i="28"/>
  <c r="L672" i="28" s="1"/>
  <c r="D672" i="28" s="1"/>
  <c r="M679" i="28"/>
  <c r="L679" i="28" s="1"/>
  <c r="D679" i="28" s="1"/>
  <c r="M680" i="28"/>
  <c r="L680" i="28" s="1"/>
  <c r="D680" i="28" s="1"/>
  <c r="M688" i="28"/>
  <c r="L688" i="28" s="1"/>
  <c r="D688" i="28" s="1"/>
  <c r="M687" i="28"/>
  <c r="L687" i="28" s="1"/>
  <c r="D687" i="28" s="1"/>
  <c r="M696" i="28"/>
  <c r="L696" i="28" s="1"/>
  <c r="D696" i="28" s="1"/>
  <c r="M695" i="28"/>
  <c r="L695" i="28" s="1"/>
  <c r="D695" i="28" s="1"/>
  <c r="M704" i="28"/>
  <c r="L704" i="28" s="1"/>
  <c r="D704" i="28" s="1"/>
  <c r="M703" i="28"/>
  <c r="L703" i="28" s="1"/>
  <c r="D703" i="28" s="1"/>
  <c r="M712" i="28"/>
  <c r="L712" i="28" s="1"/>
  <c r="D712" i="28" s="1"/>
  <c r="M711" i="28"/>
  <c r="L711" i="28" s="1"/>
  <c r="D711" i="28" s="1"/>
  <c r="M739" i="28"/>
  <c r="L739" i="28" s="1"/>
  <c r="D739" i="28" s="1"/>
  <c r="M738" i="28"/>
  <c r="L738" i="28" s="1"/>
  <c r="D738" i="28" s="1"/>
  <c r="M746" i="28"/>
  <c r="L746" i="28" s="1"/>
  <c r="D746" i="28" s="1"/>
  <c r="M747" i="28"/>
  <c r="L747" i="28" s="1"/>
  <c r="D747" i="28" s="1"/>
  <c r="M960" i="28"/>
  <c r="L960" i="28" s="1"/>
  <c r="D960" i="28" s="1"/>
  <c r="M959" i="28"/>
  <c r="L959" i="28" s="1"/>
  <c r="D959" i="28" s="1"/>
  <c r="M967" i="28"/>
  <c r="L967" i="28" s="1"/>
  <c r="D967" i="28" s="1"/>
  <c r="M984" i="28"/>
  <c r="L984" i="28" s="1"/>
  <c r="D984" i="28" s="1"/>
  <c r="M983" i="28"/>
  <c r="L983" i="28" s="1"/>
  <c r="D983" i="28" s="1"/>
  <c r="M991" i="28"/>
  <c r="L991" i="28" s="1"/>
  <c r="D991" i="28" s="1"/>
  <c r="M1007" i="28"/>
  <c r="L1007" i="28" s="1"/>
  <c r="D1007" i="28" s="1"/>
  <c r="M1008" i="28"/>
  <c r="L1008" i="28" s="1"/>
  <c r="D1008" i="28" s="1"/>
  <c r="M1015" i="28"/>
  <c r="L1015" i="28" s="1"/>
  <c r="D1015" i="28" s="1"/>
  <c r="M1031" i="28"/>
  <c r="L1031" i="28" s="1"/>
  <c r="D1031" i="28" s="1"/>
  <c r="M1032" i="28"/>
  <c r="L1032" i="28" s="1"/>
  <c r="D1032" i="28" s="1"/>
  <c r="M1039" i="28"/>
  <c r="L1039" i="28" s="1"/>
  <c r="D1039" i="28" s="1"/>
  <c r="M1056" i="28"/>
  <c r="L1056" i="28" s="1"/>
  <c r="D1056" i="28" s="1"/>
  <c r="M1055" i="28"/>
  <c r="L1055" i="28" s="1"/>
  <c r="D1055" i="28" s="1"/>
  <c r="M1063" i="28"/>
  <c r="L1063" i="28" s="1"/>
  <c r="D1063" i="28" s="1"/>
  <c r="M1079" i="28"/>
  <c r="L1079" i="28" s="1"/>
  <c r="D1079" i="28" s="1"/>
  <c r="M1080" i="28"/>
  <c r="L1080" i="28" s="1"/>
  <c r="D1080" i="28" s="1"/>
  <c r="M1087" i="28"/>
  <c r="L1087" i="28" s="1"/>
  <c r="D1087" i="28" s="1"/>
  <c r="M1104" i="28"/>
  <c r="L1104" i="28" s="1"/>
  <c r="D1104" i="28" s="1"/>
  <c r="M1103" i="28"/>
  <c r="L1103" i="28" s="1"/>
  <c r="D1103" i="28" s="1"/>
  <c r="M1111" i="28"/>
  <c r="L1111" i="28" s="1"/>
  <c r="D1111" i="28" s="1"/>
  <c r="M1128" i="28"/>
  <c r="L1128" i="28" s="1"/>
  <c r="D1128" i="28" s="1"/>
  <c r="M1127" i="28"/>
  <c r="L1127" i="28" s="1"/>
  <c r="D1127" i="28" s="1"/>
  <c r="M1135" i="28"/>
  <c r="L1135" i="28" s="1"/>
  <c r="D1135" i="28" s="1"/>
  <c r="M1152" i="28"/>
  <c r="L1152" i="28" s="1"/>
  <c r="D1152" i="28" s="1"/>
  <c r="M1151" i="28"/>
  <c r="L1151" i="28" s="1"/>
  <c r="D1151" i="28" s="1"/>
  <c r="M1159" i="28"/>
  <c r="L1159" i="28" s="1"/>
  <c r="D1159" i="28" s="1"/>
  <c r="M1176" i="28"/>
  <c r="L1176" i="28" s="1"/>
  <c r="D1176" i="28" s="1"/>
  <c r="M1175" i="28"/>
  <c r="L1175" i="28" s="1"/>
  <c r="D1175" i="28" s="1"/>
  <c r="M1183" i="28"/>
  <c r="L1183" i="28" s="1"/>
  <c r="D1183" i="28" s="1"/>
  <c r="M1199" i="28"/>
  <c r="L1199" i="28" s="1"/>
  <c r="D1199" i="28" s="1"/>
  <c r="M1200" i="28"/>
  <c r="L1200" i="28" s="1"/>
  <c r="D1200" i="28" s="1"/>
  <c r="M1207" i="28"/>
  <c r="L1207" i="28" s="1"/>
  <c r="D1207" i="28" s="1"/>
  <c r="M1258" i="28"/>
  <c r="L1258" i="28" s="1"/>
  <c r="D1258" i="28" s="1"/>
  <c r="M1259" i="28"/>
  <c r="L1259" i="28" s="1"/>
  <c r="D1259" i="28" s="1"/>
  <c r="M1338" i="28"/>
  <c r="L1338" i="28" s="1"/>
  <c r="D1338" i="28" s="1"/>
  <c r="M1337" i="28"/>
  <c r="L1337" i="28" s="1"/>
  <c r="D1337" i="28" s="1"/>
  <c r="M1345" i="28"/>
  <c r="L1345" i="28" s="1"/>
  <c r="D1345" i="28" s="1"/>
  <c r="M1346" i="28"/>
  <c r="L1346" i="28" s="1"/>
  <c r="D1346" i="28" s="1"/>
  <c r="M1353" i="28"/>
  <c r="L1353" i="28" s="1"/>
  <c r="D1353" i="28" s="1"/>
  <c r="M1354" i="28"/>
  <c r="L1354" i="28" s="1"/>
  <c r="D1354" i="28" s="1"/>
  <c r="M269" i="28"/>
  <c r="L269" i="28" s="1"/>
  <c r="D269" i="28" s="1"/>
  <c r="M268" i="28"/>
  <c r="L268" i="28" s="1"/>
  <c r="D268" i="28" s="1"/>
  <c r="M277" i="28"/>
  <c r="L277" i="28" s="1"/>
  <c r="D277" i="28" s="1"/>
  <c r="M276" i="28"/>
  <c r="L276" i="28" s="1"/>
  <c r="D276" i="28" s="1"/>
  <c r="M284" i="28"/>
  <c r="L284" i="28" s="1"/>
  <c r="D284" i="28" s="1"/>
  <c r="M285" i="28"/>
  <c r="L285" i="28" s="1"/>
  <c r="D285" i="28" s="1"/>
  <c r="M292" i="28"/>
  <c r="L292" i="28" s="1"/>
  <c r="D292" i="28" s="1"/>
  <c r="M293" i="28"/>
  <c r="L293" i="28" s="1"/>
  <c r="D293" i="28" s="1"/>
  <c r="M301" i="28"/>
  <c r="L301" i="28" s="1"/>
  <c r="D301" i="28" s="1"/>
  <c r="M300" i="28"/>
  <c r="L300" i="28" s="1"/>
  <c r="D300" i="28" s="1"/>
  <c r="M309" i="28"/>
  <c r="L309" i="28" s="1"/>
  <c r="D309" i="28" s="1"/>
  <c r="M308" i="28"/>
  <c r="L308" i="28" s="1"/>
  <c r="D308" i="28" s="1"/>
  <c r="M317" i="28"/>
  <c r="L317" i="28" s="1"/>
  <c r="D317" i="28" s="1"/>
  <c r="M316" i="28"/>
  <c r="L316" i="28" s="1"/>
  <c r="D316" i="28" s="1"/>
  <c r="M324" i="28"/>
  <c r="L324" i="28" s="1"/>
  <c r="D324" i="28" s="1"/>
  <c r="M325" i="28"/>
  <c r="L325" i="28" s="1"/>
  <c r="D325" i="28" s="1"/>
  <c r="M333" i="28"/>
  <c r="L333" i="28" s="1"/>
  <c r="D333" i="28" s="1"/>
  <c r="M332" i="28"/>
  <c r="L332" i="28" s="1"/>
  <c r="D332" i="28" s="1"/>
  <c r="M341" i="28"/>
  <c r="L341" i="28" s="1"/>
  <c r="D341" i="28" s="1"/>
  <c r="M340" i="28"/>
  <c r="L340" i="28" s="1"/>
  <c r="D340" i="28" s="1"/>
  <c r="M348" i="28"/>
  <c r="L348" i="28" s="1"/>
  <c r="D348" i="28" s="1"/>
  <c r="M349" i="28"/>
  <c r="L349" i="28" s="1"/>
  <c r="D349" i="28" s="1"/>
  <c r="M357" i="28"/>
  <c r="L357" i="28" s="1"/>
  <c r="D357" i="28" s="1"/>
  <c r="M356" i="28"/>
  <c r="L356" i="28" s="1"/>
  <c r="D356" i="28" s="1"/>
  <c r="M365" i="28"/>
  <c r="L365" i="28" s="1"/>
  <c r="D365" i="28" s="1"/>
  <c r="M364" i="28"/>
  <c r="L364" i="28" s="1"/>
  <c r="D364" i="28" s="1"/>
  <c r="M372" i="28"/>
  <c r="L372" i="28" s="1"/>
  <c r="D372" i="28" s="1"/>
  <c r="M373" i="28"/>
  <c r="L373" i="28" s="1"/>
  <c r="D373" i="28" s="1"/>
  <c r="M380" i="28"/>
  <c r="L380" i="28" s="1"/>
  <c r="D380" i="28" s="1"/>
  <c r="M381" i="28"/>
  <c r="L381" i="28" s="1"/>
  <c r="D381" i="28" s="1"/>
  <c r="M389" i="28"/>
  <c r="L389" i="28" s="1"/>
  <c r="D389" i="28" s="1"/>
  <c r="M390" i="28"/>
  <c r="L390" i="28" s="1"/>
  <c r="D390" i="28" s="1"/>
  <c r="M398" i="28"/>
  <c r="L398" i="28" s="1"/>
  <c r="D398" i="28" s="1"/>
  <c r="M397" i="28"/>
  <c r="L397" i="28" s="1"/>
  <c r="D397" i="28" s="1"/>
  <c r="M406" i="28"/>
  <c r="L406" i="28" s="1"/>
  <c r="D406" i="28" s="1"/>
  <c r="M405" i="28"/>
  <c r="L405" i="28" s="1"/>
  <c r="D405" i="28" s="1"/>
  <c r="M413" i="28"/>
  <c r="L413" i="28" s="1"/>
  <c r="D413" i="28" s="1"/>
  <c r="M414" i="28"/>
  <c r="L414" i="28" s="1"/>
  <c r="D414" i="28" s="1"/>
  <c r="M421" i="28"/>
  <c r="L421" i="28" s="1"/>
  <c r="D421" i="28" s="1"/>
  <c r="M422" i="28"/>
  <c r="L422" i="28" s="1"/>
  <c r="D422" i="28" s="1"/>
  <c r="M945" i="28"/>
  <c r="L945" i="28" s="1"/>
  <c r="D945" i="28" s="1"/>
  <c r="M944" i="28"/>
  <c r="L944" i="28" s="1"/>
  <c r="D944" i="28" s="1"/>
  <c r="M993" i="28"/>
  <c r="L993" i="28" s="1"/>
  <c r="D993" i="28" s="1"/>
  <c r="M992" i="28"/>
  <c r="L992" i="28" s="1"/>
  <c r="D992" i="28" s="1"/>
  <c r="M1017" i="28"/>
  <c r="L1017" i="28" s="1"/>
  <c r="D1017" i="28" s="1"/>
  <c r="M1016" i="28"/>
  <c r="L1016" i="28" s="1"/>
  <c r="D1016" i="28" s="1"/>
  <c r="M1041" i="28"/>
  <c r="L1041" i="28" s="1"/>
  <c r="D1041" i="28" s="1"/>
  <c r="M1040" i="28"/>
  <c r="L1040" i="28" s="1"/>
  <c r="D1040" i="28" s="1"/>
  <c r="M1065" i="28"/>
  <c r="L1065" i="28" s="1"/>
  <c r="D1065" i="28" s="1"/>
  <c r="M1064" i="28"/>
  <c r="L1064" i="28" s="1"/>
  <c r="D1064" i="28" s="1"/>
  <c r="M1088" i="28"/>
  <c r="L1088" i="28" s="1"/>
  <c r="D1088" i="28" s="1"/>
  <c r="M1089" i="28"/>
  <c r="L1089" i="28" s="1"/>
  <c r="D1089" i="28" s="1"/>
  <c r="M1113" i="28"/>
  <c r="L1113" i="28" s="1"/>
  <c r="D1113" i="28" s="1"/>
  <c r="M1112" i="28"/>
  <c r="L1112" i="28" s="1"/>
  <c r="D1112" i="28" s="1"/>
  <c r="M1137" i="28"/>
  <c r="L1137" i="28" s="1"/>
  <c r="D1137" i="28" s="1"/>
  <c r="M1136" i="28"/>
  <c r="L1136" i="28" s="1"/>
  <c r="D1136" i="28" s="1"/>
  <c r="M1160" i="28"/>
  <c r="L1160" i="28" s="1"/>
  <c r="D1160" i="28" s="1"/>
  <c r="M1161" i="28"/>
  <c r="L1161" i="28" s="1"/>
  <c r="D1161" i="28" s="1"/>
  <c r="M1185" i="28"/>
  <c r="L1185" i="28" s="1"/>
  <c r="D1185" i="28" s="1"/>
  <c r="M1184" i="28"/>
  <c r="L1184" i="28" s="1"/>
  <c r="D1184" i="28" s="1"/>
  <c r="M1209" i="28"/>
  <c r="L1209" i="28" s="1"/>
  <c r="D1209" i="28" s="1"/>
  <c r="M1208" i="28"/>
  <c r="L1208" i="28" s="1"/>
  <c r="D1208" i="28" s="1"/>
  <c r="M1267" i="28"/>
  <c r="L1267" i="28" s="1"/>
  <c r="D1267" i="28" s="1"/>
  <c r="M1268" i="28"/>
  <c r="L1268" i="28" s="1"/>
  <c r="D1268" i="28" s="1"/>
  <c r="M978" i="28"/>
  <c r="L978" i="28" s="1"/>
  <c r="D978" i="28" s="1"/>
  <c r="M977" i="28"/>
  <c r="L977" i="28" s="1"/>
  <c r="D977" i="28" s="1"/>
  <c r="M1001" i="28"/>
  <c r="L1001" i="28" s="1"/>
  <c r="D1001" i="28" s="1"/>
  <c r="M1002" i="28"/>
  <c r="L1002" i="28" s="1"/>
  <c r="D1002" i="28" s="1"/>
  <c r="M1026" i="28"/>
  <c r="L1026" i="28" s="1"/>
  <c r="D1026" i="28" s="1"/>
  <c r="M1025" i="28"/>
  <c r="L1025" i="28" s="1"/>
  <c r="D1025" i="28" s="1"/>
  <c r="M1050" i="28"/>
  <c r="L1050" i="28" s="1"/>
  <c r="D1050" i="28" s="1"/>
  <c r="M1049" i="28"/>
  <c r="L1049" i="28" s="1"/>
  <c r="D1049" i="28" s="1"/>
  <c r="M1073" i="28"/>
  <c r="L1073" i="28" s="1"/>
  <c r="D1073" i="28" s="1"/>
  <c r="M1074" i="28"/>
  <c r="L1074" i="28" s="1"/>
  <c r="D1074" i="28" s="1"/>
  <c r="M1098" i="28"/>
  <c r="L1098" i="28" s="1"/>
  <c r="D1098" i="28" s="1"/>
  <c r="M1097" i="28"/>
  <c r="L1097" i="28" s="1"/>
  <c r="D1097" i="28" s="1"/>
  <c r="M1122" i="28"/>
  <c r="L1122" i="28" s="1"/>
  <c r="D1122" i="28" s="1"/>
  <c r="M1121" i="28"/>
  <c r="L1121" i="28" s="1"/>
  <c r="D1121" i="28" s="1"/>
  <c r="M1145" i="28"/>
  <c r="L1145" i="28" s="1"/>
  <c r="D1145" i="28" s="1"/>
  <c r="M1146" i="28"/>
  <c r="L1146" i="28" s="1"/>
  <c r="D1146" i="28" s="1"/>
  <c r="M1153" i="28"/>
  <c r="L1153" i="28" s="1"/>
  <c r="D1153" i="28" s="1"/>
  <c r="M1170" i="28"/>
  <c r="L1170" i="28" s="1"/>
  <c r="D1170" i="28" s="1"/>
  <c r="M1169" i="28"/>
  <c r="L1169" i="28" s="1"/>
  <c r="D1169" i="28" s="1"/>
  <c r="M1177" i="28"/>
  <c r="L1177" i="28" s="1"/>
  <c r="D1177" i="28" s="1"/>
  <c r="M1193" i="28"/>
  <c r="L1193" i="28" s="1"/>
  <c r="D1193" i="28" s="1"/>
  <c r="M1194" i="28"/>
  <c r="L1194" i="28" s="1"/>
  <c r="D1194" i="28" s="1"/>
  <c r="M1201" i="28"/>
  <c r="L1201" i="28" s="1"/>
  <c r="D1201" i="28" s="1"/>
  <c r="M1217" i="28"/>
  <c r="L1217" i="28" s="1"/>
  <c r="D1217" i="28" s="1"/>
  <c r="M1218" i="28"/>
  <c r="L1218" i="28" s="1"/>
  <c r="D1218" i="28" s="1"/>
  <c r="M1252" i="28"/>
  <c r="L1252" i="28" s="1"/>
  <c r="D1252" i="28" s="1"/>
  <c r="M1253" i="28"/>
  <c r="L1253" i="28" s="1"/>
  <c r="D1253" i="28" s="1"/>
  <c r="M1260" i="28"/>
  <c r="L1260" i="28" s="1"/>
  <c r="D1260" i="28" s="1"/>
  <c r="M1277" i="28"/>
  <c r="L1277" i="28" s="1"/>
  <c r="D1277" i="28" s="1"/>
  <c r="M1276" i="28"/>
  <c r="L1276" i="28" s="1"/>
  <c r="D1276" i="28" s="1"/>
  <c r="M1340" i="28"/>
  <c r="L1340" i="28" s="1"/>
  <c r="D1340" i="28" s="1"/>
  <c r="M1339" i="28"/>
  <c r="L1339" i="28" s="1"/>
  <c r="D1339" i="28" s="1"/>
  <c r="M1348" i="28"/>
  <c r="L1348" i="28" s="1"/>
  <c r="D1348" i="28" s="1"/>
  <c r="M1347" i="28"/>
  <c r="L1347" i="28" s="1"/>
  <c r="D1347" i="28" s="1"/>
  <c r="M1355" i="28"/>
  <c r="L1355" i="28" s="1"/>
  <c r="D1355" i="28" s="1"/>
  <c r="M1356" i="28"/>
  <c r="L1356" i="28" s="1"/>
  <c r="D1356" i="28" s="1"/>
  <c r="M948" i="28"/>
  <c r="L948" i="28" s="1"/>
  <c r="D948" i="28" s="1"/>
  <c r="M947" i="28"/>
  <c r="L947" i="28" s="1"/>
  <c r="D947" i="28" s="1"/>
  <c r="M962" i="28"/>
  <c r="L962" i="28" s="1"/>
  <c r="D962" i="28" s="1"/>
  <c r="M963" i="28"/>
  <c r="L963" i="28" s="1"/>
  <c r="D963" i="28" s="1"/>
  <c r="M970" i="28"/>
  <c r="L970" i="28" s="1"/>
  <c r="D970" i="28" s="1"/>
  <c r="M986" i="28"/>
  <c r="L986" i="28" s="1"/>
  <c r="D986" i="28" s="1"/>
  <c r="M987" i="28"/>
  <c r="L987" i="28" s="1"/>
  <c r="D987" i="28" s="1"/>
  <c r="M994" i="28"/>
  <c r="L994" i="28" s="1"/>
  <c r="D994" i="28" s="1"/>
  <c r="M1010" i="28"/>
  <c r="L1010" i="28" s="1"/>
  <c r="D1010" i="28" s="1"/>
  <c r="M1011" i="28"/>
  <c r="L1011" i="28" s="1"/>
  <c r="D1011" i="28" s="1"/>
  <c r="M1018" i="28"/>
  <c r="L1018" i="28" s="1"/>
  <c r="D1018" i="28" s="1"/>
  <c r="M1034" i="28"/>
  <c r="L1034" i="28" s="1"/>
  <c r="D1034" i="28" s="1"/>
  <c r="M1035" i="28"/>
  <c r="L1035" i="28" s="1"/>
  <c r="D1035" i="28" s="1"/>
  <c r="M1042" i="28"/>
  <c r="L1042" i="28" s="1"/>
  <c r="D1042" i="28" s="1"/>
  <c r="M1058" i="28"/>
  <c r="L1058" i="28" s="1"/>
  <c r="D1058" i="28" s="1"/>
  <c r="M1059" i="28"/>
  <c r="L1059" i="28" s="1"/>
  <c r="D1059" i="28" s="1"/>
  <c r="M1066" i="28"/>
  <c r="L1066" i="28" s="1"/>
  <c r="D1066" i="28" s="1"/>
  <c r="M1083" i="28"/>
  <c r="L1083" i="28" s="1"/>
  <c r="D1083" i="28" s="1"/>
  <c r="M1082" i="28"/>
  <c r="L1082" i="28" s="1"/>
  <c r="D1082" i="28" s="1"/>
  <c r="M1090" i="28"/>
  <c r="L1090" i="28" s="1"/>
  <c r="D1090" i="28" s="1"/>
  <c r="M1106" i="28"/>
  <c r="L1106" i="28" s="1"/>
  <c r="D1106" i="28" s="1"/>
  <c r="M1107" i="28"/>
  <c r="L1107" i="28" s="1"/>
  <c r="D1107" i="28" s="1"/>
  <c r="M1114" i="28"/>
  <c r="L1114" i="28" s="1"/>
  <c r="D1114" i="28" s="1"/>
  <c r="M1131" i="28"/>
  <c r="L1131" i="28" s="1"/>
  <c r="D1131" i="28" s="1"/>
  <c r="M1130" i="28"/>
  <c r="L1130" i="28" s="1"/>
  <c r="D1130" i="28" s="1"/>
  <c r="M1138" i="28"/>
  <c r="L1138" i="28" s="1"/>
  <c r="D1138" i="28" s="1"/>
  <c r="M1155" i="28"/>
  <c r="L1155" i="28" s="1"/>
  <c r="D1155" i="28" s="1"/>
  <c r="M1154" i="28"/>
  <c r="L1154" i="28" s="1"/>
  <c r="D1154" i="28" s="1"/>
  <c r="M1162" i="28"/>
  <c r="L1162" i="28" s="1"/>
  <c r="D1162" i="28" s="1"/>
  <c r="M1178" i="28"/>
  <c r="L1178" i="28" s="1"/>
  <c r="D1178" i="28" s="1"/>
  <c r="M1179" i="28"/>
  <c r="L1179" i="28" s="1"/>
  <c r="D1179" i="28" s="1"/>
  <c r="M1186" i="28"/>
  <c r="L1186" i="28" s="1"/>
  <c r="D1186" i="28" s="1"/>
  <c r="M1203" i="28"/>
  <c r="L1203" i="28" s="1"/>
  <c r="D1203" i="28" s="1"/>
  <c r="M1202" i="28"/>
  <c r="L1202" i="28" s="1"/>
  <c r="D1202" i="28" s="1"/>
  <c r="M1210" i="28"/>
  <c r="L1210" i="28" s="1"/>
  <c r="D1210" i="28" s="1"/>
  <c r="M1246" i="28"/>
  <c r="L1246" i="28" s="1"/>
  <c r="D1246" i="28" s="1"/>
  <c r="M1245" i="28"/>
  <c r="L1245" i="28" s="1"/>
  <c r="D1245" i="28" s="1"/>
  <c r="M1261" i="28"/>
  <c r="L1261" i="28" s="1"/>
  <c r="D1261" i="28" s="1"/>
  <c r="M1262" i="28"/>
  <c r="L1262" i="28" s="1"/>
  <c r="D1262" i="28" s="1"/>
  <c r="M1269" i="28"/>
  <c r="L1269" i="28" s="1"/>
  <c r="D1269" i="28" s="1"/>
  <c r="M971" i="28"/>
  <c r="L971" i="28" s="1"/>
  <c r="D971" i="28" s="1"/>
  <c r="M972" i="28"/>
  <c r="L972" i="28" s="1"/>
  <c r="D972" i="28" s="1"/>
  <c r="M1020" i="28"/>
  <c r="L1020" i="28" s="1"/>
  <c r="D1020" i="28" s="1"/>
  <c r="M1019" i="28"/>
  <c r="L1019" i="28" s="1"/>
  <c r="D1019" i="28" s="1"/>
  <c r="M1043" i="28"/>
  <c r="L1043" i="28" s="1"/>
  <c r="D1043" i="28" s="1"/>
  <c r="M1044" i="28"/>
  <c r="L1044" i="28" s="1"/>
  <c r="D1044" i="28" s="1"/>
  <c r="M1068" i="28"/>
  <c r="L1068" i="28" s="1"/>
  <c r="D1068" i="28" s="1"/>
  <c r="M1067" i="28"/>
  <c r="L1067" i="28" s="1"/>
  <c r="D1067" i="28" s="1"/>
  <c r="M1091" i="28"/>
  <c r="L1091" i="28" s="1"/>
  <c r="D1091" i="28" s="1"/>
  <c r="M1092" i="28"/>
  <c r="L1092" i="28" s="1"/>
  <c r="D1092" i="28" s="1"/>
  <c r="M1115" i="28"/>
  <c r="L1115" i="28" s="1"/>
  <c r="D1115" i="28" s="1"/>
  <c r="M1116" i="28"/>
  <c r="L1116" i="28" s="1"/>
  <c r="D1116" i="28" s="1"/>
  <c r="M1140" i="28"/>
  <c r="L1140" i="28" s="1"/>
  <c r="D1140" i="28" s="1"/>
  <c r="M1139" i="28"/>
  <c r="L1139" i="28" s="1"/>
  <c r="D1139" i="28" s="1"/>
  <c r="M1163" i="28"/>
  <c r="L1163" i="28" s="1"/>
  <c r="D1163" i="28" s="1"/>
  <c r="M1164" i="28"/>
  <c r="L1164" i="28" s="1"/>
  <c r="D1164" i="28" s="1"/>
  <c r="M1188" i="28"/>
  <c r="L1188" i="28" s="1"/>
  <c r="D1188" i="28" s="1"/>
  <c r="M1187" i="28"/>
  <c r="L1187" i="28" s="1"/>
  <c r="D1187" i="28" s="1"/>
  <c r="M1211" i="28"/>
  <c r="L1211" i="28" s="1"/>
  <c r="D1211" i="28" s="1"/>
  <c r="M1212" i="28"/>
  <c r="L1212" i="28" s="1"/>
  <c r="D1212" i="28" s="1"/>
  <c r="M1271" i="28"/>
  <c r="L1271" i="28" s="1"/>
  <c r="D1271" i="28" s="1"/>
  <c r="M1270" i="28"/>
  <c r="L1270" i="28" s="1"/>
  <c r="D1270" i="28" s="1"/>
  <c r="M1333" i="28"/>
  <c r="L1333" i="28" s="1"/>
  <c r="D1333" i="28" s="1"/>
  <c r="M1334" i="28"/>
  <c r="L1334" i="28" s="1"/>
  <c r="D1334" i="28" s="1"/>
  <c r="M1342" i="28"/>
  <c r="L1342" i="28" s="1"/>
  <c r="D1342" i="28" s="1"/>
  <c r="M1341" i="28"/>
  <c r="L1341" i="28" s="1"/>
  <c r="D1341" i="28" s="1"/>
  <c r="M1349" i="28"/>
  <c r="L1349" i="28" s="1"/>
  <c r="D1349" i="28" s="1"/>
  <c r="M1350" i="28"/>
  <c r="L1350" i="28" s="1"/>
  <c r="D1350" i="28" s="1"/>
  <c r="M1357" i="28"/>
  <c r="L1357" i="28" s="1"/>
  <c r="D1357" i="28" s="1"/>
  <c r="M1358" i="28"/>
  <c r="L1358" i="28" s="1"/>
  <c r="D1358" i="28" s="1"/>
  <c r="M995" i="28"/>
  <c r="L995" i="28" s="1"/>
  <c r="D995" i="28" s="1"/>
  <c r="M996" i="28"/>
  <c r="L996" i="28" s="1"/>
  <c r="D996" i="28" s="1"/>
  <c r="C29" i="28"/>
  <c r="M44" i="28"/>
  <c r="L44" i="28" s="1"/>
  <c r="D44" i="28" s="1"/>
  <c r="M52" i="28"/>
  <c r="L52" i="28" s="1"/>
  <c r="D52" i="28" s="1"/>
  <c r="M60" i="28"/>
  <c r="L60" i="28" s="1"/>
  <c r="D60" i="28" s="1"/>
  <c r="M68" i="28"/>
  <c r="L68" i="28" s="1"/>
  <c r="D68" i="28" s="1"/>
  <c r="M76" i="28"/>
  <c r="L76" i="28" s="1"/>
  <c r="D76" i="28" s="1"/>
  <c r="M265" i="28"/>
  <c r="L265" i="28" s="1"/>
  <c r="D265" i="28" s="1"/>
  <c r="M264" i="28"/>
  <c r="L264" i="28" s="1"/>
  <c r="D264" i="28" s="1"/>
  <c r="M273" i="28"/>
  <c r="L273" i="28" s="1"/>
  <c r="D273" i="28" s="1"/>
  <c r="M272" i="28"/>
  <c r="L272" i="28" s="1"/>
  <c r="D272" i="28" s="1"/>
  <c r="M281" i="28"/>
  <c r="L281" i="28" s="1"/>
  <c r="D281" i="28" s="1"/>
  <c r="M280" i="28"/>
  <c r="L280" i="28" s="1"/>
  <c r="D280" i="28" s="1"/>
  <c r="M289" i="28"/>
  <c r="L289" i="28" s="1"/>
  <c r="D289" i="28" s="1"/>
  <c r="M288" i="28"/>
  <c r="L288" i="28" s="1"/>
  <c r="D288" i="28" s="1"/>
  <c r="M297" i="28"/>
  <c r="L297" i="28" s="1"/>
  <c r="D297" i="28" s="1"/>
  <c r="M296" i="28"/>
  <c r="L296" i="28" s="1"/>
  <c r="D296" i="28" s="1"/>
  <c r="M305" i="28"/>
  <c r="L305" i="28" s="1"/>
  <c r="D305" i="28" s="1"/>
  <c r="M304" i="28"/>
  <c r="L304" i="28" s="1"/>
  <c r="D304" i="28" s="1"/>
  <c r="M312" i="28"/>
  <c r="L312" i="28" s="1"/>
  <c r="D312" i="28" s="1"/>
  <c r="M313" i="28"/>
  <c r="L313" i="28" s="1"/>
  <c r="D313" i="28" s="1"/>
  <c r="M321" i="28"/>
  <c r="L321" i="28" s="1"/>
  <c r="D321" i="28" s="1"/>
  <c r="M320" i="28"/>
  <c r="L320" i="28" s="1"/>
  <c r="D320" i="28" s="1"/>
  <c r="M329" i="28"/>
  <c r="L329" i="28" s="1"/>
  <c r="D329" i="28" s="1"/>
  <c r="M328" i="28"/>
  <c r="L328" i="28" s="1"/>
  <c r="D328" i="28" s="1"/>
  <c r="M337" i="28"/>
  <c r="L337" i="28" s="1"/>
  <c r="D337" i="28" s="1"/>
  <c r="M336" i="28"/>
  <c r="L336" i="28" s="1"/>
  <c r="D336" i="28" s="1"/>
  <c r="M344" i="28"/>
  <c r="L344" i="28" s="1"/>
  <c r="D344" i="28" s="1"/>
  <c r="M345" i="28"/>
  <c r="L345" i="28" s="1"/>
  <c r="D345" i="28" s="1"/>
  <c r="M353" i="28"/>
  <c r="L353" i="28" s="1"/>
  <c r="D353" i="28" s="1"/>
  <c r="M352" i="28"/>
  <c r="L352" i="28" s="1"/>
  <c r="D352" i="28" s="1"/>
  <c r="M361" i="28"/>
  <c r="L361" i="28" s="1"/>
  <c r="D361" i="28" s="1"/>
  <c r="M360" i="28"/>
  <c r="L360" i="28" s="1"/>
  <c r="D360" i="28" s="1"/>
  <c r="M368" i="28"/>
  <c r="L368" i="28" s="1"/>
  <c r="D368" i="28" s="1"/>
  <c r="M369" i="28"/>
  <c r="L369" i="28" s="1"/>
  <c r="D369" i="28" s="1"/>
  <c r="M376" i="28"/>
  <c r="L376" i="28" s="1"/>
  <c r="D376" i="28" s="1"/>
  <c r="M377" i="28"/>
  <c r="L377" i="28" s="1"/>
  <c r="D377" i="28" s="1"/>
  <c r="M394" i="28"/>
  <c r="L394" i="28" s="1"/>
  <c r="D394" i="28" s="1"/>
  <c r="M393" i="28"/>
  <c r="L393" i="28" s="1"/>
  <c r="D393" i="28" s="1"/>
  <c r="M402" i="28"/>
  <c r="L402" i="28" s="1"/>
  <c r="D402" i="28" s="1"/>
  <c r="M401" i="28"/>
  <c r="L401" i="28" s="1"/>
  <c r="D401" i="28" s="1"/>
  <c r="M409" i="28"/>
  <c r="L409" i="28" s="1"/>
  <c r="D409" i="28" s="1"/>
  <c r="M410" i="28"/>
  <c r="L410" i="28" s="1"/>
  <c r="D410" i="28" s="1"/>
  <c r="M418" i="28"/>
  <c r="L418" i="28" s="1"/>
  <c r="D418" i="28" s="1"/>
  <c r="M417" i="28"/>
  <c r="L417" i="28" s="1"/>
  <c r="D417" i="28" s="1"/>
  <c r="M426" i="28"/>
  <c r="L426" i="28" s="1"/>
  <c r="D426" i="28" s="1"/>
  <c r="M425" i="28"/>
  <c r="L425" i="28" s="1"/>
  <c r="D425" i="28" s="1"/>
  <c r="M941" i="28"/>
  <c r="L941" i="28" s="1"/>
  <c r="D941" i="28" s="1"/>
  <c r="M940" i="28"/>
  <c r="L940" i="28" s="1"/>
  <c r="D940" i="28" s="1"/>
  <c r="M957" i="28"/>
  <c r="L957" i="28" s="1"/>
  <c r="D957" i="28" s="1"/>
  <c r="M956" i="28"/>
  <c r="L956" i="28" s="1"/>
  <c r="D956" i="28" s="1"/>
  <c r="M964" i="28"/>
  <c r="L964" i="28" s="1"/>
  <c r="D964" i="28" s="1"/>
  <c r="M981" i="28"/>
  <c r="L981" i="28" s="1"/>
  <c r="D981" i="28" s="1"/>
  <c r="M980" i="28"/>
  <c r="L980" i="28" s="1"/>
  <c r="D980" i="28" s="1"/>
  <c r="M988" i="28"/>
  <c r="L988" i="28" s="1"/>
  <c r="D988" i="28" s="1"/>
  <c r="M1004" i="28"/>
  <c r="L1004" i="28" s="1"/>
  <c r="D1004" i="28" s="1"/>
  <c r="M1005" i="28"/>
  <c r="L1005" i="28" s="1"/>
  <c r="D1005" i="28" s="1"/>
  <c r="M1012" i="28"/>
  <c r="L1012" i="28" s="1"/>
  <c r="D1012" i="28" s="1"/>
  <c r="M1028" i="28"/>
  <c r="L1028" i="28" s="1"/>
  <c r="D1028" i="28" s="1"/>
  <c r="M1029" i="28"/>
  <c r="L1029" i="28" s="1"/>
  <c r="D1029" i="28" s="1"/>
  <c r="M1036" i="28"/>
  <c r="L1036" i="28" s="1"/>
  <c r="D1036" i="28" s="1"/>
  <c r="M1053" i="28"/>
  <c r="L1053" i="28" s="1"/>
  <c r="D1053" i="28" s="1"/>
  <c r="M1052" i="28"/>
  <c r="L1052" i="28" s="1"/>
  <c r="D1052" i="28" s="1"/>
  <c r="M1060" i="28"/>
  <c r="L1060" i="28" s="1"/>
  <c r="D1060" i="28" s="1"/>
  <c r="M1076" i="28"/>
  <c r="L1076" i="28" s="1"/>
  <c r="D1076" i="28" s="1"/>
  <c r="M1077" i="28"/>
  <c r="L1077" i="28" s="1"/>
  <c r="D1077" i="28" s="1"/>
  <c r="M1084" i="28"/>
  <c r="L1084" i="28" s="1"/>
  <c r="D1084" i="28" s="1"/>
  <c r="M1101" i="28"/>
  <c r="L1101" i="28" s="1"/>
  <c r="D1101" i="28" s="1"/>
  <c r="M1100" i="28"/>
  <c r="L1100" i="28" s="1"/>
  <c r="D1100" i="28" s="1"/>
  <c r="M1108" i="28"/>
  <c r="L1108" i="28" s="1"/>
  <c r="D1108" i="28" s="1"/>
  <c r="M1124" i="28"/>
  <c r="L1124" i="28" s="1"/>
  <c r="D1124" i="28" s="1"/>
  <c r="M1125" i="28"/>
  <c r="L1125" i="28" s="1"/>
  <c r="D1125" i="28" s="1"/>
  <c r="M1132" i="28"/>
  <c r="L1132" i="28" s="1"/>
  <c r="D1132" i="28" s="1"/>
  <c r="M1149" i="28"/>
  <c r="L1149" i="28" s="1"/>
  <c r="D1149" i="28" s="1"/>
  <c r="M1148" i="28"/>
  <c r="L1148" i="28" s="1"/>
  <c r="D1148" i="28" s="1"/>
  <c r="M1156" i="28"/>
  <c r="L1156" i="28" s="1"/>
  <c r="D1156" i="28" s="1"/>
  <c r="M1173" i="28"/>
  <c r="L1173" i="28" s="1"/>
  <c r="D1173" i="28" s="1"/>
  <c r="M1172" i="28"/>
  <c r="L1172" i="28" s="1"/>
  <c r="D1172" i="28" s="1"/>
  <c r="M1180" i="28"/>
  <c r="L1180" i="28" s="1"/>
  <c r="D1180" i="28" s="1"/>
  <c r="M1196" i="28"/>
  <c r="L1196" i="28" s="1"/>
  <c r="D1196" i="28" s="1"/>
  <c r="M1197" i="28"/>
  <c r="L1197" i="28" s="1"/>
  <c r="D1197" i="28" s="1"/>
  <c r="M1204" i="28"/>
  <c r="L1204" i="28" s="1"/>
  <c r="D1204" i="28" s="1"/>
  <c r="M1220" i="28"/>
  <c r="L1220" i="28" s="1"/>
  <c r="D1220" i="28" s="1"/>
  <c r="M1221" i="28"/>
  <c r="L1221" i="28" s="1"/>
  <c r="D1221" i="28" s="1"/>
  <c r="M1247" i="28"/>
  <c r="L1247" i="28" s="1"/>
  <c r="D1247" i="28" s="1"/>
  <c r="M1248" i="28"/>
  <c r="L1248" i="28" s="1"/>
  <c r="D1248" i="28" s="1"/>
  <c r="M1256" i="28"/>
  <c r="L1256" i="28" s="1"/>
  <c r="D1256" i="28" s="1"/>
  <c r="M1255" i="28"/>
  <c r="L1255" i="28" s="1"/>
  <c r="D1255" i="28" s="1"/>
  <c r="M1263" i="28"/>
  <c r="L1263" i="28" s="1"/>
  <c r="D1263" i="28" s="1"/>
  <c r="M1280" i="28"/>
  <c r="L1280" i="28" s="1"/>
  <c r="D1280" i="28" s="1"/>
  <c r="M1279" i="28"/>
  <c r="L1279" i="28" s="1"/>
  <c r="D1279" i="28" s="1"/>
  <c r="M78" i="28"/>
  <c r="L78" i="28" s="1"/>
  <c r="D78" i="28" s="1"/>
  <c r="M609" i="28"/>
  <c r="L609" i="28" s="1"/>
  <c r="D609" i="28" s="1"/>
  <c r="M612" i="28"/>
  <c r="L612" i="28" s="1"/>
  <c r="D612" i="28" s="1"/>
  <c r="M611" i="28"/>
  <c r="L611" i="28" s="1"/>
  <c r="D611" i="28" s="1"/>
  <c r="B4" i="28"/>
  <c r="M79" i="28" s="1"/>
  <c r="B5" i="28"/>
  <c r="C7" i="28"/>
  <c r="B7" i="28"/>
  <c r="C13" i="28"/>
  <c r="C5" i="28"/>
  <c r="C6" i="28"/>
  <c r="B6" i="28"/>
  <c r="B12" i="28"/>
  <c r="C4" i="28"/>
  <c r="C12" i="28"/>
  <c r="D81" i="28" l="1"/>
  <c r="L82" i="28"/>
  <c r="L86" i="28"/>
  <c r="D86" i="28" s="1"/>
  <c r="C26" i="28"/>
  <c r="C25" i="28"/>
  <c r="C17" i="28"/>
  <c r="C22" i="28"/>
  <c r="C24" i="28"/>
  <c r="C19" i="28"/>
  <c r="M89" i="28"/>
  <c r="M85" i="28"/>
  <c r="L79" i="28"/>
  <c r="L85" i="28"/>
  <c r="D85" i="28" s="1"/>
  <c r="L83" i="28"/>
  <c r="D83" i="28" s="1"/>
  <c r="D82" i="28"/>
  <c r="C23" i="28"/>
  <c r="C18" i="28"/>
  <c r="C21" i="28"/>
  <c r="B8" i="28"/>
  <c r="C14" i="28"/>
  <c r="C8" i="28"/>
  <c r="L89" i="28" l="1"/>
  <c r="D89" i="28" s="1"/>
  <c r="L91" i="28"/>
  <c r="D91" i="28" s="1"/>
  <c r="L90" i="28"/>
  <c r="D90" i="28" s="1"/>
  <c r="D79" i="28"/>
  <c r="L80" i="28"/>
  <c r="D80" i="28" s="1"/>
  <c r="B13" i="28"/>
  <c r="B14" i="28" s="1"/>
  <c r="C20" i="28"/>
  <c r="M539" i="28"/>
  <c r="L539" i="28" s="1"/>
  <c r="D539" i="28" s="1"/>
  <c r="M538" i="28"/>
  <c r="L538" i="28" s="1"/>
  <c r="D538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Hicks</author>
    <author>Iona Lamy-Yang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Dylai’r arddangosfeydd a gynhwysir yn yr adran hon fod wedi eu curadu’n broffesiynol gyda gwybodaeth ategol, deunydd dehongliadol, a gwybodaeth ar eich gwefan.
Os cafodd yr arddangosfa ei chyflwyno'n ddigidol, nodwch gymaint o wybodaeth â phosibl ym mhob categori</t>
        </r>
      </text>
    </comment>
    <comment ref="K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Cais penodol gan fudiad i artist greu gwaith newydd i’w arddangos, sydd wedi’i osod allan mewn cytundeb gyda’r artist i gynnwys ffi, yn cydnabod amser yr artist yn ymchwilio, datblygu a chynhyrchu’r gwaith.
</t>
        </r>
      </text>
    </comment>
    <comment ref="AA3" authorId="0" shapeId="0" xr:uid="{00000000-0006-0000-0000-000003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B3" authorId="0" shapeId="0" xr:uid="{00000000-0006-0000-0000-000004000000}">
      <text>
        <r>
          <rPr>
            <sz val="9"/>
            <color indexed="81"/>
            <rFont val="Tahoma"/>
            <family val="2"/>
          </rPr>
          <t>Os gyflwynwyd y sesiynau mewn dwy iaith arall e.e Cymraeg, Saesneg a Groeg</t>
        </r>
      </text>
    </comment>
    <comment ref="AC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Unrhyw iaith arall ar wahân i'r Gymraeg neu'r Saesneg</t>
        </r>
      </text>
    </comment>
    <comment ref="AG3" authorId="0" shapeId="0" xr:uid="{00000000-0006-0000-0000-000006000000}">
      <text>
        <r>
          <rPr>
            <sz val="9"/>
            <color indexed="81"/>
            <rFont val="Tahoma"/>
            <family val="2"/>
          </rPr>
          <t>25 ac iau</t>
        </r>
      </text>
    </comment>
    <comment ref="AQ3" authorId="0" shapeId="0" xr:uid="{00000000-0006-0000-0000-000007000000}">
      <text>
        <r>
          <rPr>
            <sz val="9"/>
            <color indexed="81"/>
            <rFont val="Tahoma"/>
            <family val="2"/>
          </rPr>
          <t>25 ac iau</t>
        </r>
      </text>
    </comment>
    <comment ref="AY3" authorId="1" shapeId="0" xr:uid="{3AABC6B0-4C42-413E-8200-089C62A8B6B4}">
      <text>
        <r>
          <rPr>
            <sz val="9"/>
            <color indexed="81"/>
            <rFont val="Tahoma"/>
            <family val="2"/>
          </rPr>
          <t xml:space="preserve">Prosiect sy’n bodloni un neu ragor o'r pedwar maen prawf penodol i’r fath brosiect. 
</t>
        </r>
        <r>
          <rPr>
            <b/>
            <sz val="9"/>
            <color indexed="81"/>
            <rFont val="Tahoma"/>
            <family val="2"/>
          </rPr>
          <t>Amcanion</t>
        </r>
        <r>
          <rPr>
            <sz val="9"/>
            <color indexed="81"/>
            <rFont val="Tahoma"/>
            <family val="2"/>
          </rPr>
          <t xml:space="preserve"> - a yw'r prosiect wedi'i anelu at sicrhau canlyniadau iechyd neu les i gyfranogwyr?
</t>
        </r>
        <r>
          <rPr>
            <b/>
            <sz val="9"/>
            <color indexed="81"/>
            <rFont val="Tahoma"/>
            <family val="2"/>
          </rPr>
          <t>Partneriaid</t>
        </r>
        <r>
          <rPr>
            <sz val="9"/>
            <color indexed="81"/>
            <rFont val="Tahoma"/>
            <family val="2"/>
          </rPr>
          <t xml:space="preserve"> - a yw’r Ymddiriedolaeth GIG, Bwrdd Iechyd neu sefydliad trydydd sector megis MIND Cymru neu'r Gymdeithas Alzheimer yn bartner?
</t>
        </r>
        <r>
          <rPr>
            <b/>
            <sz val="9"/>
            <color indexed="81"/>
            <rFont val="Tahoma"/>
            <family val="2"/>
          </rPr>
          <t>Lleoliad</t>
        </r>
        <r>
          <rPr>
            <sz val="9"/>
            <color indexed="81"/>
            <rFont val="Tahoma"/>
            <family val="2"/>
          </rPr>
          <t xml:space="preserve"> - a yw'r prosiect yn digwydd mewn lleoliad gofal iechyd (cartref gofal/ysbyty)?
</t>
        </r>
        <r>
          <rPr>
            <b/>
            <sz val="9"/>
            <color indexed="81"/>
            <rFont val="Tahoma"/>
            <family val="2"/>
          </rPr>
          <t>Pwnc</t>
        </r>
        <r>
          <rPr>
            <sz val="9"/>
            <color indexed="81"/>
            <rFont val="Tahoma"/>
            <family val="2"/>
          </rPr>
          <t xml:space="preserve"> - a yw’r prosiect celfyddydol yn mynd i'r afael â chyflwr/thema iechyd (fel dryswch neu iechyd meddwl)?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Jones</author>
    <author>Sandra Hicks</author>
    <author>Iona Lamy-Yang</author>
  </authors>
  <commentList>
    <comment ref="B1" authorId="0" shapeId="0" xr:uid="{3E6DC8E0-AE2F-4370-BEC3-9939AC178851}">
      <text>
        <r>
          <rPr>
            <sz val="9"/>
            <color indexed="81"/>
            <rFont val="Tahoma"/>
            <family val="2"/>
          </rPr>
          <t xml:space="preserve">Os cafodd y digwyddiad ei gyflwyno'n ddigidol, nodwch gymaint o wybodaeth â phosibl dan bob categori.
</t>
        </r>
      </text>
    </comment>
    <comment ref="C1" authorId="0" shapeId="0" xr:uid="{00000000-0006-0000-0100-000001000000}">
      <text>
        <r>
          <rPr>
            <sz val="9"/>
            <color indexed="81"/>
            <rFont val="Tahoma"/>
            <family val="2"/>
          </rPr>
          <t>Gwelir y Canllaw Cyffredinol am dddiffiniadau 
https://arts.wales/cy/resources/arts-portfolio-wales-survey-general-guide</t>
        </r>
      </text>
    </comment>
    <comment ref="E2" authorId="1" shapeId="0" xr:uid="{00000000-0006-0000-0100-000002000000}">
      <text>
        <r>
          <rPr>
            <sz val="9"/>
            <color indexed="81"/>
            <rFont val="Tahoma"/>
            <family val="2"/>
          </rPr>
          <t>Mae un 'sesiwn' yn gallu para am hanner diwrnod neu lai. Nodwch y iaith cafodd y sesiynau ei gyflwyno</t>
        </r>
      </text>
    </comment>
    <comment ref="S2" authorId="1" shapeId="0" xr:uid="{00000000-0006-0000-0100-000003000000}">
      <text>
        <r>
          <rPr>
            <sz val="9"/>
            <color indexed="81"/>
            <rFont val="Tahoma"/>
            <family val="2"/>
          </rPr>
          <t>Mae un 'sesiwn' yn gallu para am hanner diwrnod neu lai. Nodwch y iaith cafodd y sesiynau ei gyflwyno</t>
        </r>
      </text>
    </comment>
    <comment ref="AH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Gwelir y Canllaw Cyffredinol am dddiffiniadau </t>
        </r>
      </text>
    </comment>
    <comment ref="AI2" authorId="1" shapeId="0" xr:uid="{00000000-0006-0000-0100-000005000000}">
      <text>
        <r>
          <rPr>
            <sz val="9"/>
            <color indexed="81"/>
            <rFont val="Tahoma"/>
            <family val="2"/>
          </rPr>
          <t>Mae un 'sesiwn' yn gallu para am hanner diwrnod neu lai. Nodwch y iaith cafodd y sesiynau ei gyflwyno</t>
        </r>
      </text>
    </comment>
    <comment ref="G3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Os cyflwynwyd sesiynau mewn iaith ar wahân i'r Gymraeg neu'r Saesneg</t>
        </r>
      </text>
    </comment>
    <comment ref="H3" authorId="1" shapeId="0" xr:uid="{00000000-0006-0000-0100-000007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I3" authorId="1" shapeId="0" xr:uid="{00000000-0006-0000-0100-000008000000}">
      <text>
        <r>
          <rPr>
            <sz val="9"/>
            <color indexed="81"/>
            <rFont val="Tahoma"/>
            <family val="2"/>
          </rPr>
          <t>Os nad oedd y sesiwyn yn cynnwys Cymraeg a Saesneg yn Unig ond yn cynnwys dwy neu fwy o ieithoedd e.e. Cymraeg, Saesneg a Groeg</t>
        </r>
      </text>
    </comment>
    <comment ref="L3" authorId="1" shapeId="0" xr:uid="{00000000-0006-0000-0100-000009000000}">
      <text>
        <r>
          <rPr>
            <sz val="9"/>
            <color indexed="81"/>
            <rFont val="Tahoma"/>
            <family val="2"/>
          </rPr>
          <t xml:space="preserve">
Os cyflwynwyd sesiynau mewn iaith ar wahân i'r Gymraeg neu'r Saesneg</t>
        </r>
      </text>
    </comment>
    <comment ref="M3" authorId="1" shapeId="0" xr:uid="{00000000-0006-0000-0100-00000A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N3" authorId="1" shapeId="0" xr:uid="{00000000-0006-0000-0100-00000B000000}">
      <text>
        <r>
          <rPr>
            <sz val="9"/>
            <color indexed="81"/>
            <rFont val="Tahoma"/>
            <family val="2"/>
          </rPr>
          <t>Os nad oedd y sesiwyn yn cynnwys Cymraeg a Saesneg yn Unig ond yn cynnwys dwy neu fwy o ieithoedd e.e. Cymraeg, Saesneg a Groeg</t>
        </r>
      </text>
    </comment>
    <comment ref="U3" authorId="1" shapeId="0" xr:uid="{00000000-0006-0000-0100-00000C000000}">
      <text>
        <r>
          <rPr>
            <sz val="9"/>
            <color indexed="81"/>
            <rFont val="Tahoma"/>
            <family val="2"/>
          </rPr>
          <t xml:space="preserve">
Os cyflwynwyd sesiynau mewn iaith ar wahân i'r Gymraeg neu'r Saesneg</t>
        </r>
      </text>
    </comment>
    <comment ref="V3" authorId="1" shapeId="0" xr:uid="{00000000-0006-0000-0100-00000D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W3" authorId="1" shapeId="0" xr:uid="{00000000-0006-0000-0100-00000E000000}">
      <text>
        <r>
          <rPr>
            <sz val="9"/>
            <color indexed="81"/>
            <rFont val="Tahoma"/>
            <family val="2"/>
          </rPr>
          <t>Os nad oedd y sesiwyn yn cynnwys Cymraeg a Saesneg yn Unig ond yn cynnwys dwy neu fwy o ieithoedd e.e. Cymraeg, Saesneg a Groeg</t>
        </r>
      </text>
    </comment>
    <comment ref="Z3" authorId="1" shapeId="0" xr:uid="{00000000-0006-0000-0100-00000F000000}">
      <text>
        <r>
          <rPr>
            <sz val="9"/>
            <color indexed="81"/>
            <rFont val="Tahoma"/>
            <family val="2"/>
          </rPr>
          <t xml:space="preserve">
Os cyflwynwyd sesiynau mewn iaith ar wahân i'r Gymraeg neu'r Saesneg</t>
        </r>
      </text>
    </comment>
    <comment ref="AA3" authorId="1" shapeId="0" xr:uid="{00000000-0006-0000-0100-000010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B3" authorId="1" shapeId="0" xr:uid="{00000000-0006-0000-0100-000011000000}">
      <text>
        <r>
          <rPr>
            <sz val="9"/>
            <color indexed="81"/>
            <rFont val="Tahoma"/>
            <family val="2"/>
          </rPr>
          <t>Os nad oedd y sesiwyn yn cynnwys Cymraeg a Saesneg yn Unig ond yn cynnwys dwy neu fwy o ieithoedd e.e. Cymraeg, Saesneg a Groeg</t>
        </r>
      </text>
    </comment>
    <comment ref="AK3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
Os cyflwynwyd sesiynau mewn iaith ar wahân i'r Gymraeg neu'r Saesneg</t>
        </r>
      </text>
    </comment>
    <comment ref="AL3" authorId="1" shapeId="0" xr:uid="{00000000-0006-0000-0100-000013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M3" authorId="1" shapeId="0" xr:uid="{00000000-0006-0000-0100-000014000000}">
      <text>
        <r>
          <rPr>
            <sz val="9"/>
            <color indexed="81"/>
            <rFont val="Tahoma"/>
            <family val="2"/>
          </rPr>
          <t>Os nad oedd y sesiwyn yn cynnwys Cymraeg a Saesneg yn Unig ond yn cynnwys dwy neu fwy o ieithoedd e.e. Cymraeg, Saesneg a Groeg</t>
        </r>
      </text>
    </comment>
    <comment ref="AP3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
Os cyflwynwyd sesiynau mewn iaith ar wahân i'r Gymraeg neu'r Saesneg</t>
        </r>
      </text>
    </comment>
    <comment ref="AQ3" authorId="1" shapeId="0" xr:uid="{00000000-0006-0000-0100-000016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R3" authorId="1" shapeId="0" xr:uid="{00000000-0006-0000-0100-000017000000}">
      <text>
        <r>
          <rPr>
            <sz val="9"/>
            <color indexed="81"/>
            <rFont val="Tahoma"/>
            <family val="2"/>
          </rPr>
          <t>Os nad oedd y sesiwyn yn cynnwys Cymraeg a Saesneg yn Unig ond yn cynnwys dwy neu fwy o ieithoedd e.e. Cymraeg, Saesneg a Groeg</t>
        </r>
      </text>
    </comment>
    <comment ref="BF3" authorId="2" shapeId="0" xr:uid="{43C40C9B-03B3-4093-9FEA-0FDB2D4B2C06}">
      <text>
        <r>
          <rPr>
            <sz val="9"/>
            <color indexed="81"/>
            <rFont val="Tahoma"/>
            <family val="2"/>
          </rPr>
          <t xml:space="preserve">Prosiect sy’n bodloni un neu ragor o'r pedwar maen prawf penodol i’r fath brosiect. 
Amcanion - a yw'r prosiect wedi'i anelu at sicrhau canlyniadau iechyd neu les i gyfranogwyr?
Partneriaid - a yw’r Ymddiriedolaeth GIG, Bwrdd Iechyd neu sefydliad trydydd sector megis MIND Cymru neu'r Gymdeithas Alzheimer yn bartner?
Lleoliad - a yw'r prosiect yn digwydd mewn lleoliad gofal iechyd (cartref gofal/ysbyty)?
Pwnc - a yw’r prosiect celfyddydol yn mynd i'r afael â chyflwr/thema iechyd (fel dryswch neu iechyd meddwl)?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Hicks</author>
    <author>Iona Lamy-Yang</author>
  </authors>
  <commentList>
    <comment ref="B1" authorId="0" shapeId="0" xr:uid="{00000000-0006-0000-0200-000001000000}">
      <text>
        <r>
          <rPr>
            <sz val="9"/>
            <color indexed="81"/>
            <rFont val="Tahoma"/>
            <family val="2"/>
          </rPr>
          <t>Ni ddylech chi gynnwys yn yr adran yma weithgarwch ymgyfranogol sy'n targedu at pobl 25 ac iau
Os cafodd y digwyddiad ei gyflwyno'n ddigidol, nodwch gymaint o wybodaeth â phosibl dan bob categori.</t>
        </r>
      </text>
    </comment>
    <comment ref="C1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Gwelir y Canllaw Cyffredinol am dddiffiniadau:
https://arts.wales/cy/resources/arts-portfolio-wales-survey-general-guide
</t>
        </r>
      </text>
    </comment>
    <comment ref="E1" authorId="0" shapeId="0" xr:uid="{00000000-0006-0000-0200-000003000000}">
      <text>
        <r>
          <rPr>
            <sz val="9"/>
            <color indexed="81"/>
            <rFont val="Tahoma"/>
            <family val="2"/>
          </rPr>
          <t>Mae sesiynau ymgyfranogol yn gallu cynnwys: 
Gweithdai
Dosbarthiadau
Ymarferion</t>
        </r>
      </text>
    </comment>
    <comment ref="Q1" authorId="0" shapeId="0" xr:uid="{00000000-0006-0000-0200-000004000000}">
      <text>
        <r>
          <rPr>
            <sz val="9"/>
            <color indexed="81"/>
            <rFont val="Tahoma"/>
            <family val="2"/>
          </rPr>
          <t>Os dasrgedai'r prosiect mwy nag un grŵp, nodwch y gweithgarwch dan bob grŵp perthnasol.</t>
        </r>
      </text>
    </comment>
    <comment ref="AF1" authorId="0" shapeId="0" xr:uid="{00000000-0006-0000-0200-000005000000}">
      <text>
        <r>
          <rPr>
            <sz val="9"/>
            <color indexed="81"/>
            <rFont val="Tahoma"/>
            <family val="2"/>
          </rPr>
          <t>Gwaith yn amatur pan nad yw’r perfformwyr neu’r gwneuthurwyr yn cael eu talu ac nad ydyn nhw’n gweithio'n broffesiynol yn y diwydiant.</t>
        </r>
      </text>
    </comment>
    <comment ref="E2" authorId="0" shapeId="0" xr:uid="{00000000-0006-0000-0200-000006000000}">
      <text>
        <r>
          <rPr>
            <sz val="9"/>
            <color indexed="81"/>
            <rFont val="Tahoma"/>
            <family val="2"/>
          </rPr>
          <t>Mae un 'sesiwn' yn gallu para am hanner diwrnod neu lai. Nodwch y iaith cafodd y sesiynau ei gyflwyno</t>
        </r>
      </text>
    </comment>
    <comment ref="G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
Os cyflwynwyd sesiynau mewn iaith ar wahân i'r Gymraeg neu'r Saesneg</t>
        </r>
      </text>
    </comment>
    <comment ref="H3" authorId="0" shapeId="0" xr:uid="{00000000-0006-0000-0200-000008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I3" authorId="0" shapeId="0" xr:uid="{00000000-0006-0000-0200-000009000000}">
      <text>
        <r>
          <rPr>
            <sz val="9"/>
            <color indexed="81"/>
            <rFont val="Tahoma"/>
            <family val="2"/>
          </rPr>
          <t>Os nad oedd y sesiwyn yn cynnwys Cymraeg a Saesneg yn Unig ond yn cynnwys dwy neu fwy o ieithoedd e.e. Cymraeg, Saesneg a Groeg</t>
        </r>
      </text>
    </comment>
    <comment ref="L3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
Os cyflwynwyd sesiynau mewn iaith ar wahân i'r Gymraeg neu'r Saesneg</t>
        </r>
      </text>
    </comment>
    <comment ref="M3" authorId="0" shapeId="0" xr:uid="{00000000-0006-0000-0200-00000B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N3" authorId="0" shapeId="0" xr:uid="{00000000-0006-0000-0200-00000C000000}">
      <text>
        <r>
          <rPr>
            <sz val="9"/>
            <color indexed="81"/>
            <rFont val="Tahoma"/>
            <family val="2"/>
          </rPr>
          <t>Os nad oedd y sesiwyn yn cynnwys Cymraeg a Saesneg yn Unig ond yn cynnwys dwy neu fwy o ieithoedd e.e. Cymraeg, Saesneg a Groeg</t>
        </r>
      </text>
    </comment>
    <comment ref="Z3" authorId="1" shapeId="0" xr:uid="{0DE20026-7122-47F0-AC48-5B37E21063BE}">
      <text>
        <r>
          <rPr>
            <sz val="9"/>
            <color indexed="81"/>
            <rFont val="Tahoma"/>
            <family val="2"/>
          </rPr>
          <t xml:space="preserve">Prosiect sy’n bodloni un neu ragor o'r pedwar maen prawf penodol i’r fath brosiect. 
Amcanion - a yw'r prosiect wedi'i anelu at sicrhau canlyniadau iechyd neu les i gyfranogwyr?
Partneriaid - a yw’r Ymddiriedolaeth GIG, Bwrdd Iechyd neu sefydliad trydydd sector megis MIND Cymru neu'r Gymdeithas Alzheimer yn bartner?
Lleoliad - a yw'r prosiect yn digwydd mewn lleoliad gofal iechyd (cartref gofal/ysbyty)?
Pwnc - a yw’r prosiect celfyddydol yn mynd i'r afael â chyflwr/thema iechyd (fel dryswch neu iechyd meddwl)?
</t>
        </r>
      </text>
    </comment>
    <comment ref="AH3" authorId="0" shapeId="0" xr:uid="{00000000-0006-0000-0200-00000D000000}">
      <text>
        <r>
          <rPr>
            <sz val="9"/>
            <color indexed="81"/>
            <rFont val="Tahoma"/>
            <family val="2"/>
          </rPr>
          <t xml:space="preserve">Iaith arall ar wahan i Cymraeg a Saesneg </t>
        </r>
      </text>
    </comment>
    <comment ref="AI3" authorId="0" shapeId="0" xr:uid="{00000000-0006-0000-0200-00000E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J3" authorId="0" shapeId="0" xr:uid="{00000000-0006-0000-0200-00000F000000}">
      <text>
        <r>
          <rPr>
            <sz val="9"/>
            <color indexed="81"/>
            <rFont val="Tahoma"/>
            <family val="2"/>
          </rPr>
          <t>Dwy iaith neu'n fwy, ar wahan I Cymraeg a Saesneg e.e Cymraeg, Saesneg a Groeg</t>
        </r>
      </text>
    </comment>
    <comment ref="AM3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Iaith arall ar wahan i Cymraeg a Saesneg </t>
        </r>
      </text>
    </comment>
    <comment ref="AN3" authorId="0" shapeId="0" xr:uid="{00000000-0006-0000-0200-000011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O3" authorId="0" shapeId="0" xr:uid="{00000000-0006-0000-0200-000012000000}">
      <text>
        <r>
          <rPr>
            <sz val="9"/>
            <color indexed="81"/>
            <rFont val="Tahoma"/>
            <family val="2"/>
          </rPr>
          <t>Dwy iaith neu'n fwy, ar wahan I Cymraeg a Saesneg e.e Cymraeg, Saesneg a Groeg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Jones</author>
    <author>Sandra Hicks</author>
    <author>Iona Lamy-Yang</author>
  </authors>
  <commentList>
    <comment ref="B1" authorId="0" shapeId="0" xr:uid="{BE3C83A2-6F12-4670-998B-DA27A64393B2}">
      <text>
        <r>
          <rPr>
            <sz val="9"/>
            <color indexed="81"/>
            <rFont val="Tahoma"/>
            <family val="2"/>
          </rPr>
          <t>Os cafodd y cynhyrchiad ei gyflwyno'n ddigidol, rhowch gymaint o wybodaeth â phosibl ymhob categori.</t>
        </r>
      </text>
    </comment>
    <comment ref="DL1" authorId="0" shapeId="0" xr:uid="{00000000-0006-0000-0300-000001000000}">
      <text>
        <r>
          <rPr>
            <sz val="9"/>
            <color indexed="81"/>
            <rFont val="Tahoma"/>
            <family val="2"/>
          </rPr>
          <t>Gan nad oes modd i ffigyrau am berfformiadau stryd yn wastad fod yn fanwl gywir, rydym yn hapus i chi defnyddio amcangyfrif o ffigwr</t>
        </r>
      </text>
    </comment>
    <comment ref="H2" authorId="0" shapeId="0" xr:uid="{00000000-0006-0000-0300-000002000000}">
      <text>
        <r>
          <rPr>
            <sz val="9"/>
            <color indexed="81"/>
            <rFont val="Tahoma"/>
            <family val="2"/>
          </rPr>
          <t>Yr ydym yn ystyried bod mudiadau’n cael eu harwain os yw o leiaf 51% o’u huwch-reolwyr, pwyllgor rheoli, bwrdd neu gorff llywodraethol yn diffinio eu hunain fel rhan o’r grŵp targed penodol (Nodweddion Gwarchodedig).</t>
        </r>
      </text>
    </comment>
    <comment ref="AI2" authorId="1" shapeId="0" xr:uid="{00000000-0006-0000-0300-000003000000}">
      <text>
        <r>
          <rPr>
            <sz val="9"/>
            <color indexed="81"/>
            <rFont val="Tahoma"/>
            <family val="2"/>
          </rPr>
          <t>Iaith y perfformiad</t>
        </r>
      </text>
    </comment>
    <comment ref="AV2" authorId="1" shapeId="0" xr:uid="{6D7E5EA9-77E8-4608-96C0-D97257B2D113}">
      <text>
        <r>
          <rPr>
            <sz val="9"/>
            <color indexed="81"/>
            <rFont val="Tahoma"/>
            <family val="2"/>
          </rPr>
          <t>Iaith y perfformiad</t>
        </r>
      </text>
    </comment>
    <comment ref="BI2" authorId="1" shapeId="0" xr:uid="{5F6A3E40-6AFD-460E-A5A4-617028BC734E}">
      <text>
        <r>
          <rPr>
            <sz val="9"/>
            <color indexed="81"/>
            <rFont val="Tahoma"/>
            <family val="2"/>
          </rPr>
          <t>Iaith y perfformiad</t>
        </r>
      </text>
    </comment>
    <comment ref="BV2" authorId="1" shapeId="0" xr:uid="{C5800659-DD06-4984-8870-5E1D29070CCD}">
      <text>
        <r>
          <rPr>
            <sz val="9"/>
            <color indexed="81"/>
            <rFont val="Tahoma"/>
            <family val="2"/>
          </rPr>
          <t>Iaith y perfformiad</t>
        </r>
      </text>
    </comment>
    <comment ref="CI2" authorId="1" shapeId="0" xr:uid="{50CC5FEB-0647-4456-A4C1-1395C61F595A}">
      <text>
        <r>
          <rPr>
            <sz val="9"/>
            <color indexed="81"/>
            <rFont val="Tahoma"/>
            <family val="2"/>
          </rPr>
          <t>Iaith y perfformiad</t>
        </r>
      </text>
    </comment>
    <comment ref="J3" authorId="1" shapeId="0" xr:uid="{00000000-0006-0000-0300-000004000000}">
      <text>
        <r>
          <rPr>
            <sz val="9"/>
            <color indexed="81"/>
            <rFont val="Tahoma"/>
            <family val="2"/>
          </rPr>
          <t>25 ac iau</t>
        </r>
      </text>
    </comment>
    <comment ref="S3" authorId="1" shapeId="0" xr:uid="{00000000-0006-0000-0300-000005000000}">
      <text>
        <r>
          <rPr>
            <sz val="9"/>
            <color indexed="81"/>
            <rFont val="Tahoma"/>
            <family val="2"/>
          </rPr>
          <t>25 ac iau</t>
        </r>
      </text>
    </comment>
    <comment ref="AB3" authorId="2" shapeId="0" xr:uid="{175C9D57-3F7B-499C-B5D2-CD4F8003F551}">
      <text>
        <r>
          <rPr>
            <sz val="9"/>
            <color indexed="81"/>
            <rFont val="Tahoma"/>
            <family val="2"/>
          </rPr>
          <t xml:space="preserve">The following pointers can be useful to determine whether your project targeted Arts &amp; Health:
Prosiect sy’n bodloni un neu ragor o'r pedwar maen prawf penodol i’r fath brosiect. 
Amcanion - a yw'r prosiect wedi'i anelu at sicrhau canlyniadau iechyd neu les i gyfranogwyr?
Partneriaid - a yw’r Ymddiriedolaeth GIG, Bwrdd Iechyd neu sefydliad trydydd sector megis MIND Cymru neu'r Gymdeithas Alzheimer yn bartner?
Lleoliad - a yw'r prosiect yn digwydd mewn lleoliad gofal iechyd (cartref gofal/ysbyty)?
Pwnc - a yw’r prosiect celfyddydol yn mynd i'r afael â chyflwr/thema iechyd (fel dryswch neu iechyd meddwl)?
</t>
        </r>
      </text>
    </comment>
    <comment ref="AK3" authorId="1" shapeId="0" xr:uid="{00000000-0006-0000-0300-000006000000}">
      <text>
        <r>
          <rPr>
            <sz val="9"/>
            <color indexed="81"/>
            <rFont val="Tahoma"/>
            <family val="2"/>
          </rPr>
          <t>Os cyflwynwyd y perfformiadau mewn iaith ar wahân i'r Gymraeg neu'r Saesneg</t>
        </r>
      </text>
    </comment>
    <comment ref="AL3" authorId="1" shapeId="0" xr:uid="{00000000-0006-0000-0300-000007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M3" authorId="1" shapeId="0" xr:uid="{00000000-0006-0000-0300-000008000000}">
      <text>
        <r>
          <rPr>
            <sz val="9"/>
            <color indexed="81"/>
            <rFont val="Tahoma"/>
            <family val="2"/>
          </rPr>
          <t>Os nad oedd y perfformiad yn cynnwys Cymraeg a Saesneg yn Unig ond yn cynnwys dwy neu fwy o ieithoedd e.e. Cymraeg, Saesneg a Groeg</t>
        </r>
      </text>
    </comment>
    <comment ref="AR3" authorId="2" shapeId="0" xr:uid="{6D313FB2-49D8-46A4-9713-2C435B103D93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X3" authorId="1" shapeId="0" xr:uid="{00000000-0006-0000-0300-000009000000}">
      <text>
        <r>
          <rPr>
            <sz val="9"/>
            <color indexed="81"/>
            <rFont val="Tahoma"/>
            <family val="2"/>
          </rPr>
          <t>Os cyflwynwyd sesiynau mewn iaith ar wahân i'r Gymraeg neu'r Saesneg</t>
        </r>
      </text>
    </comment>
    <comment ref="AY3" authorId="1" shapeId="0" xr:uid="{00000000-0006-0000-0300-00000A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Z3" authorId="1" shapeId="0" xr:uid="{00000000-0006-0000-0300-00000B000000}">
      <text>
        <r>
          <rPr>
            <sz val="9"/>
            <color indexed="81"/>
            <rFont val="Tahoma"/>
            <family val="2"/>
          </rPr>
          <t>Os nad oedd y perfformiad yn cynnwys Cymraeg a Saesneg yn Unig ond yn cynnwys dwy neu fwy o ieithoedd e.e. Cymraeg, Saesneg a Groeg</t>
        </r>
      </text>
    </comment>
    <comment ref="BE3" authorId="2" shapeId="0" xr:uid="{D752B2C7-30AF-42BE-8976-D1F5D2E35569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BK3" authorId="1" shapeId="0" xr:uid="{00000000-0006-0000-0300-00000C000000}">
      <text>
        <r>
          <rPr>
            <sz val="9"/>
            <color indexed="81"/>
            <rFont val="Tahoma"/>
            <family val="2"/>
          </rPr>
          <t>Os cyflwynwyd sesiynau mewn iaith ar wahân i'r Gymraeg neu'r Saesneg</t>
        </r>
      </text>
    </comment>
    <comment ref="BL3" authorId="1" shapeId="0" xr:uid="{00000000-0006-0000-0300-00000D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BM3" authorId="1" shapeId="0" xr:uid="{00000000-0006-0000-0300-00000E000000}">
      <text>
        <r>
          <rPr>
            <sz val="9"/>
            <color indexed="81"/>
            <rFont val="Tahoma"/>
            <family val="2"/>
          </rPr>
          <t>Os nad oedd y perfformiad yn cynnwys Cymraeg a Saesneg yn Unig ond yn cynnwys dwy neu fwy o ieithoedd e.e. Cymraeg, Saesneg a Groeg</t>
        </r>
      </text>
    </comment>
    <comment ref="BR3" authorId="2" shapeId="0" xr:uid="{F506E9BE-519F-4AE7-9A72-69DA68B0E0D6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BX3" authorId="1" shapeId="0" xr:uid="{00000000-0006-0000-0300-00000F000000}">
      <text>
        <r>
          <rPr>
            <sz val="9"/>
            <color indexed="81"/>
            <rFont val="Tahoma"/>
            <family val="2"/>
          </rPr>
          <t>Os cyflwynwyd sesiynau mewn iaith ar wahân i'r Gymraeg neu'r Saesneg</t>
        </r>
      </text>
    </comment>
    <comment ref="BY3" authorId="1" shapeId="0" xr:uid="{00000000-0006-0000-0300-00001000000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BZ3" authorId="1" shapeId="0" xr:uid="{00000000-0006-0000-0300-000011000000}">
      <text>
        <r>
          <rPr>
            <sz val="9"/>
            <color indexed="81"/>
            <rFont val="Tahoma"/>
            <family val="2"/>
          </rPr>
          <t>Os nad oedd y perfformiad yn cynnwys Cymraeg a Saesneg yn Unig ond yn cynnwys dwy neu fwy o ieithoedd e.e. Cymraeg, Saesneg a Groeg</t>
        </r>
      </text>
    </comment>
    <comment ref="CE3" authorId="2" shapeId="0" xr:uid="{1AF3BC9C-91E8-45E8-85B8-481BD9F21040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CK3" authorId="1" shapeId="0" xr:uid="{00000000-0006-0000-0300-000012000000}">
      <text>
        <r>
          <rPr>
            <sz val="9"/>
            <color indexed="81"/>
            <rFont val="Tahoma"/>
            <family val="2"/>
          </rPr>
          <t>Os cyflwynwyd sesiynau mewn iaith ar wahân i'r Gymraeg neu'r Saesneg</t>
        </r>
      </text>
    </comment>
    <comment ref="CL3" authorId="2" shapeId="0" xr:uid="{F5B025E7-C3E7-4AC3-A09A-F1C1E234B7AF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CM3" authorId="1" shapeId="0" xr:uid="{00000000-0006-0000-0300-000014000000}">
      <text>
        <r>
          <rPr>
            <sz val="9"/>
            <color indexed="81"/>
            <rFont val="Tahoma"/>
            <family val="2"/>
          </rPr>
          <t>Os nad oedd y perfformiad yn cynnwys Cymraeg a Saesneg yn Unig ond yn cynnwys dwy neu fwy o ieithoedd e.e. Cymraeg, Saesneg a Groeg</t>
        </r>
      </text>
    </comment>
    <comment ref="CR3" authorId="2" shapeId="0" xr:uid="{7B744C4D-1D47-472F-B66A-C95DBB0DB665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CX3" authorId="1" shapeId="0" xr:uid="{00000000-0006-0000-0300-000015000000}">
      <text>
        <r>
          <rPr>
            <sz val="9"/>
            <color indexed="81"/>
            <rFont val="Tahoma"/>
            <family val="2"/>
          </rPr>
          <t>Os cyflwynwyd y perfformiadau mewn iaith ar wahân i'r Gymraeg neu'r Saesneg</t>
        </r>
      </text>
    </comment>
    <comment ref="CY3" authorId="2" shapeId="0" xr:uid="{B1FE7D08-8EDC-4280-AD99-AA69E10B5FAA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CZ3" authorId="1" shapeId="0" xr:uid="{00000000-0006-0000-0300-000017000000}">
      <text>
        <r>
          <rPr>
            <sz val="9"/>
            <color indexed="81"/>
            <rFont val="Tahoma"/>
            <family val="2"/>
          </rPr>
          <t>Os nad oedd y perfformiad yn cynnwys Cymraeg a Saesneg yn Unig ond yn cynnwys dwy neu fwy o ieithoedd e.e. Cymraeg, Saesneg a Groeg</t>
        </r>
      </text>
    </comment>
    <comment ref="DE3" authorId="2" shapeId="0" xr:uid="{8489E90E-8231-4F63-AAC7-1E39C1410713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DQ3" authorId="1" shapeId="0" xr:uid="{00000000-0006-0000-0300-000018000000}">
      <text>
        <r>
          <rPr>
            <sz val="9"/>
            <color indexed="81"/>
            <rFont val="Tahoma"/>
            <family val="2"/>
          </rPr>
          <t>25 ac iau</t>
        </r>
      </text>
    </comment>
    <comment ref="DZ3" authorId="1" shapeId="0" xr:uid="{00000000-0006-0000-0300-000019000000}">
      <text>
        <r>
          <rPr>
            <sz val="9"/>
            <color indexed="81"/>
            <rFont val="Tahoma"/>
            <family val="2"/>
          </rPr>
          <t>Unrhyw iaith arall ar wahân i'r Gymraeg neu'r Saesneg</t>
        </r>
      </text>
    </comment>
    <comment ref="EA3" authorId="2" shapeId="0" xr:uid="{ADEC96A7-C2F7-4E30-BD21-7C6374DD4D08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EB3" authorId="1" shapeId="0" xr:uid="{00000000-0006-0000-0300-00001B000000}">
      <text>
        <r>
          <rPr>
            <sz val="9"/>
            <color indexed="81"/>
            <rFont val="Tahoma"/>
            <family val="2"/>
          </rPr>
          <t>Unrhyw dwy ieithoedd arall neu'n fwy e.e Cymraeg, Saesneg a Groeg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Iona Lamy-Yang</author>
    <author>Sarah Jones</author>
    <author>Sandra Hicks</author>
  </authors>
  <commentList>
    <comment ref="AY3" authorId="0" shapeId="0" xr:uid="{42ED6D7B-D347-4DA6-BC78-C84C945DA177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E4" authorId="1" shapeId="0" xr:uid="{00000000-0006-0000-0500-000001000000}">
      <text>
        <r>
          <rPr>
            <sz val="9"/>
            <color indexed="81"/>
            <rFont val="Tahoma"/>
            <family val="2"/>
          </rPr>
          <t>Os oedd y darllediad yn iaith arall ar wahân i'r Gymraeg neu'r Saesneg</t>
        </r>
      </text>
    </comment>
    <comment ref="F4" authorId="0" shapeId="0" xr:uid="{0275EBBF-3C01-42B7-B1A6-C0A051A9253B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G4" authorId="1" shapeId="0" xr:uid="{00000000-0006-0000-0500-000003000000}">
      <text>
        <r>
          <rPr>
            <sz val="9"/>
            <color indexed="81"/>
            <rFont val="Tahoma"/>
            <family val="2"/>
          </rPr>
          <t>Os nad oedd y darllediad yn cynnwys Cymraeg a Saesneg yn Unig ond yn cynnwys dwy neu fwy o ieithoedd e.e. Cymraeg, Saesneg a Groeg</t>
        </r>
      </text>
    </comment>
    <comment ref="K4" authorId="1" shapeId="0" xr:uid="{00000000-0006-0000-0500-000004000000}">
      <text>
        <r>
          <rPr>
            <sz val="9"/>
            <color indexed="81"/>
            <rFont val="Tahoma"/>
            <family val="2"/>
          </rPr>
          <t>Os oedd y darllediad yn iaith arall ar wahân i'r Gymraeg neu'r Saesneg</t>
        </r>
      </text>
    </comment>
    <comment ref="L4" authorId="0" shapeId="0" xr:uid="{DB09F51F-E93A-4C77-B2CC-767E409A41E2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M4" authorId="1" shapeId="0" xr:uid="{00000000-0006-0000-0500-000006000000}">
      <text>
        <r>
          <rPr>
            <sz val="9"/>
            <color indexed="81"/>
            <rFont val="Tahoma"/>
            <family val="2"/>
          </rPr>
          <t>Os nad oedd y darllediad yn cynnwys Cymraeg a Saesneg yn Unig ond yn cynnwys dwy neu fwy o ieithoedd e.e. Cymraeg, 
Saesneg a Groeg</t>
        </r>
      </text>
    </comment>
    <comment ref="Q4" authorId="1" shapeId="0" xr:uid="{00000000-0006-0000-0500-000007000000}">
      <text>
        <r>
          <rPr>
            <sz val="9"/>
            <color indexed="81"/>
            <rFont val="Tahoma"/>
            <family val="2"/>
          </rPr>
          <t>Os oedd y darllediad yn iaith arall ar wahân i'r Gymraeg neu'r Saesneg</t>
        </r>
      </text>
    </comment>
    <comment ref="R4" authorId="0" shapeId="0" xr:uid="{884FAA6C-66CF-4D14-927B-22368F9B392A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S4" authorId="1" shapeId="0" xr:uid="{00000000-0006-0000-0500-000009000000}">
      <text>
        <r>
          <rPr>
            <sz val="9"/>
            <color indexed="81"/>
            <rFont val="Tahoma"/>
            <family val="2"/>
          </rPr>
          <t>Os nad oedd y darllediad yn cynnwys Cymraeg a Saesneg yn Unig ond yn cynnwys dwy neu fwy o ieithoedd e.e. Cymraeg, 
Saesneg a Groeg</t>
        </r>
      </text>
    </comment>
    <comment ref="X4" authorId="1" shapeId="0" xr:uid="{00000000-0006-0000-0500-00000A000000}">
      <text>
        <r>
          <rPr>
            <sz val="9"/>
            <color indexed="81"/>
            <rFont val="Tahoma"/>
            <family val="2"/>
          </rPr>
          <t>Os oedd y darllediad yn iaith arall ar wahân i'r Gymraeg neu'r Saesneg</t>
        </r>
      </text>
    </comment>
    <comment ref="Y4" authorId="0" shapeId="0" xr:uid="{299BA81D-08D5-48A2-9ACD-96447F50D5B2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Z4" authorId="1" shapeId="0" xr:uid="{00000000-0006-0000-0500-00000C000000}">
      <text>
        <r>
          <rPr>
            <sz val="9"/>
            <color indexed="81"/>
            <rFont val="Tahoma"/>
            <family val="2"/>
          </rPr>
          <t>Os nad oedd y darllediad yn cynnwys Cymraeg a Saesneg yn Unig ond yn cynnwys dwy neu fwy o ieithoedd e.e. Cymraeg, 
Saesneg a Groeg</t>
        </r>
      </text>
    </comment>
    <comment ref="AD4" authorId="1" shapeId="0" xr:uid="{00000000-0006-0000-0500-00000D000000}">
      <text>
        <r>
          <rPr>
            <sz val="9"/>
            <color indexed="81"/>
            <rFont val="Tahoma"/>
            <family val="2"/>
          </rPr>
          <t>Os oedd y darllediad yn iaith arall ar wahân i'r Gymraeg neu'r Saesneg</t>
        </r>
      </text>
    </comment>
    <comment ref="AE4" authorId="0" shapeId="0" xr:uid="{8181E5DC-0E90-47ED-8996-F1ADBCBC4EA4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F4" authorId="1" shapeId="0" xr:uid="{00000000-0006-0000-0500-00000F000000}">
      <text>
        <r>
          <rPr>
            <sz val="9"/>
            <color indexed="81"/>
            <rFont val="Tahoma"/>
            <family val="2"/>
          </rPr>
          <t>Os nad oedd y darllediad yn cynnwys Cymraeg a Saesneg yn Unig ond yn cynnwys dwy neu fwy o ieithoedd e.e. Cymraeg, 
Saesneg a Groeg</t>
        </r>
      </text>
    </comment>
    <comment ref="AJ4" authorId="1" shapeId="0" xr:uid="{00000000-0006-0000-0500-000010000000}">
      <text>
        <r>
          <rPr>
            <sz val="9"/>
            <color indexed="81"/>
            <rFont val="Tahoma"/>
            <family val="2"/>
          </rPr>
          <t>Os oedd y darllediad yn iaith arall ar wahân i'r Gymraeg neu'r Saesneg</t>
        </r>
      </text>
    </comment>
    <comment ref="AK4" authorId="0" shapeId="0" xr:uid="{D5CB91D1-4D59-43D4-BD17-F61A64B13A89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L4" authorId="1" shapeId="0" xr:uid="{00000000-0006-0000-0500-000012000000}">
      <text>
        <r>
          <rPr>
            <sz val="9"/>
            <color indexed="81"/>
            <rFont val="Tahoma"/>
            <family val="2"/>
          </rPr>
          <t>Os nad oedd y darllediad yn cynnwys Cymraeg a Saesneg yn Unig ond yn cynnwys dwy neu fwy o ieithoedd e.e. Cymraeg, 
Saesneg a Groeg</t>
        </r>
      </text>
    </comment>
    <comment ref="AQ4" authorId="1" shapeId="0" xr:uid="{00000000-0006-0000-0500-000013000000}">
      <text>
        <r>
          <rPr>
            <sz val="9"/>
            <color indexed="81"/>
            <rFont val="Tahoma"/>
            <family val="2"/>
          </rPr>
          <t>Os oedd y darllediad yn iaith arall ar wahân i'r Gymraeg neu'r Saesneg</t>
        </r>
      </text>
    </comment>
    <comment ref="AR4" authorId="0" shapeId="0" xr:uid="{0777136E-A92F-4B05-8379-03F5E592FDDF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AS4" authorId="1" shapeId="0" xr:uid="{00000000-0006-0000-0500-000015000000}">
      <text>
        <r>
          <rPr>
            <sz val="9"/>
            <color indexed="81"/>
            <rFont val="Tahoma"/>
            <family val="2"/>
          </rPr>
          <t>Os nad oedd y darllediad yn cynnwys Cymraeg a Saesneg yn Unig ond yn cynnwys dwy neu fwy o ieithoedd e.e. Cymraeg, 
Saesneg a Groeg</t>
        </r>
      </text>
    </comment>
    <comment ref="BJ4" authorId="2" shapeId="0" xr:uid="{00000000-0006-0000-0500-000019000000}">
      <text>
        <r>
          <rPr>
            <sz val="9"/>
            <color indexed="81"/>
            <rFont val="Tahoma"/>
            <family val="2"/>
          </rPr>
          <t>25 ac iau</t>
        </r>
      </text>
    </comment>
    <comment ref="BQ4" authorId="0" shapeId="0" xr:uid="{2B2C2518-4382-448C-82E5-5197D534CDF0}">
      <text>
        <r>
          <rPr>
            <sz val="9"/>
            <color indexed="81"/>
            <rFont val="Tahoma"/>
            <family val="2"/>
          </rPr>
          <t xml:space="preserve">Prosiect sy’n bodloni un neu ragor o'r pedwar maen prawf penodol i’r fath brosiect. 
Amcanion - a yw'r prosiect wedi'i anelu at sicrhau canlyniadau iechyd neu les i gyfranogwyr?
Partneriaid - a yw’r Ymddiriedolaeth GIG, Bwrdd Iechyd neu sefydliad trydydd sector megis MIND Cymru neu'r Gymdeithas Alzheimer yn bartner?
Lleoliad - a yw'r prosiect yn digwydd mewn lleoliad gofal iechyd (cartref gofal/ysbyty)?
Pwnc - a yw’r prosiect celfyddydol yn mynd i'r afael â chyflwr/thema iechyd (fel dryswch neu iechyd meddwl)?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Batsford</author>
    <author>Sarah Jones</author>
    <author>Iona Lamy-Yang</author>
    <author>Sandra Hicks</author>
  </authors>
  <commentList>
    <comment ref="E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This question is about the screening of alternative content film. It relates to content that has not been produced or edited as a film. </t>
        </r>
      </text>
    </comment>
    <comment ref="I2" authorId="1" shapeId="0" xr:uid="{00000000-0006-0000-0400-000002000000}">
      <text>
        <r>
          <rPr>
            <sz val="9"/>
            <color indexed="81"/>
            <rFont val="Tahoma"/>
            <family val="2"/>
          </rPr>
          <t>Os sgrinwyd y ffilm mewn iaith ar wahân i'r Gymraeg neu'r Saesneg</t>
        </r>
      </text>
    </comment>
    <comment ref="J2" authorId="2" shapeId="0" xr:uid="{4DB26710-5067-4CEE-A820-16142DAA30BD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K2" authorId="1" shapeId="0" xr:uid="{00000000-0006-0000-0400-000004000000}">
      <text>
        <r>
          <rPr>
            <sz val="9"/>
            <color indexed="81"/>
            <rFont val="Tahoma"/>
            <family val="2"/>
          </rPr>
          <t>Os nad oedd y sgrin ffilm yn cynnwys Cymraeg a Saesneg yn Unig ond yn cynnwys dwy neu fwy o ieithoedd e.e. Cymraeg, Saesneg a Groeg</t>
        </r>
      </text>
    </comment>
    <comment ref="O2" authorId="1" shapeId="0" xr:uid="{00000000-0006-0000-0400-000005000000}">
      <text>
        <r>
          <rPr>
            <sz val="9"/>
            <color indexed="81"/>
            <rFont val="Tahoma"/>
            <family val="2"/>
          </rPr>
          <t>Os sgrinwyd y ffilm mewn iaith ar wahân i'r Gymraeg neu'r Saesneg</t>
        </r>
      </text>
    </comment>
    <comment ref="P2" authorId="2" shapeId="0" xr:uid="{E01B2A17-A921-4579-9295-4294572432EB}">
      <text>
        <r>
          <rPr>
            <sz val="9"/>
            <color indexed="81"/>
            <rFont val="Tahoma"/>
            <family val="2"/>
          </rPr>
          <t xml:space="preserve">rhaniad 50:50 o'r Gymraeg a'r Saesneg
</t>
        </r>
      </text>
    </comment>
    <comment ref="Q2" authorId="1" shapeId="0" xr:uid="{00000000-0006-0000-0400-000007000000}">
      <text>
        <r>
          <rPr>
            <sz val="9"/>
            <color indexed="81"/>
            <rFont val="Tahoma"/>
            <family val="2"/>
          </rPr>
          <t>Os nad oedd y sgriniad ffilm yn cynnwys Cymraeg a Saesneg yn Unig ond yn cynnwys dwy neu fwy o ieithoedd e.e. Cymraeg, Saesneg a Groeg</t>
        </r>
      </text>
    </comment>
    <comment ref="AA3" authorId="3" shapeId="0" xr:uid="{00000000-0006-0000-0400-000008000000}">
      <text>
        <r>
          <rPr>
            <sz val="9"/>
            <color indexed="81"/>
            <rFont val="Tahoma"/>
            <family val="2"/>
          </rPr>
          <t>25 oed neu iau</t>
        </r>
      </text>
    </comment>
    <comment ref="AH3" authorId="2" shapeId="0" xr:uid="{10BC6B77-99D6-43E0-8369-ADEA5CE5ABF2}">
      <text>
        <r>
          <rPr>
            <sz val="9"/>
            <color indexed="81"/>
            <rFont val="Tahoma"/>
            <family val="2"/>
          </rPr>
          <t xml:space="preserve">Prosiect sy’n bodloni un neu ragor o'r pedwar maen prawf penodol i’r fath brosiect. 
Amcanion - a yw'r prosiect wedi'i anelu at sicrhau canlyniadau iechyd neu les i gyfranogwyr?
Partneriaid - a yw’r Ymddiriedolaeth GIG, Bwrdd Iechyd neu sefydliad trydydd sector megis MIND Cymru neu'r Gymdeithas Alzheimer yn bartner?
Lleoliad - a yw'r prosiect yn digwydd mewn lleoliad gofal iechyd (cartref gofal/ysbyty)?
Pwnc - a yw’r prosiect celfyddydol yn mynd i'r afael â chyflwr/thema iechyd (fel dryswch neu iechyd meddwl)?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Jones</author>
  </authors>
  <commentList>
    <comment ref="AK3" authorId="0" shapeId="0" xr:uid="{FB8D0AEE-D142-4E4B-99C8-9E6DAEBED880}">
      <text>
        <r>
          <rPr>
            <b/>
            <sz val="9"/>
            <color indexed="81"/>
            <rFont val="Tahoma"/>
            <family val="2"/>
          </rPr>
          <t xml:space="preserve">Nodwch faint o ddilynwyr sydd gennych ar y llwyfan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3" authorId="0" shapeId="0" xr:uid="{F05972E9-645C-453D-AEB7-0F53D9A036D7}">
      <text>
        <r>
          <rPr>
            <sz val="9"/>
            <color indexed="81"/>
            <rFont val="Tahoma"/>
            <family val="2"/>
          </rPr>
          <t xml:space="preserve">Dim ond cyrraedd yw hyn, nid effaith
</t>
        </r>
      </text>
    </comment>
    <comment ref="AM3" authorId="0" shapeId="0" xr:uid="{7AC02471-40FD-435F-A7E0-59509C86ADAC}">
      <text>
        <r>
          <rPr>
            <b/>
            <sz val="9"/>
            <color indexed="81"/>
            <rFont val="Tahoma"/>
            <family val="2"/>
          </rPr>
          <t xml:space="preserve">Pob ymateb - hoffi, clicio ar ddolen, rhannu, sylwadau, gweld fideos
Os nad oes gennych gyfrif busnes, gallwch roi amcangyfrif drwy gyfrif y rhain â llaw ar gyfer y 6 post diwethaf a lluosi hyn â swm y postiadau yn y 6 mis diwethaf.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3" authorId="0" shapeId="0" xr:uid="{5CEA0CA3-3D35-471E-9560-E64A5F8BE7E1}">
      <text>
        <r>
          <rPr>
            <b/>
            <sz val="9"/>
            <color indexed="81"/>
            <rFont val="Tahoma"/>
            <family val="2"/>
          </rPr>
          <t>Nodwch unrhyw fetrigau eraill am ymgysylltu nad 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3" authorId="0" shapeId="0" xr:uid="{7A2D8D81-7595-42EB-9D88-2F7F18D1913C}">
      <text>
        <r>
          <rPr>
            <b/>
            <sz val="9"/>
            <color indexed="81"/>
            <rFont val="Tahoma"/>
            <family val="2"/>
          </rPr>
          <t>Nodwch faint o ddilynwyr sydd gennych ar y llwyfan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3" authorId="0" shapeId="0" xr:uid="{11AA0A3D-165C-4FEA-AD3D-4D64F33041F9}">
      <text>
        <r>
          <rPr>
            <b/>
            <sz val="9"/>
            <color indexed="81"/>
            <rFont val="Tahoma"/>
            <family val="2"/>
          </rPr>
          <t>Dim ond cyrraedd yw hyn, nid effaith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3" authorId="0" shapeId="0" xr:uid="{94278638-3B4E-4F4F-BCA2-FEC389C6F9C4}">
      <text>
        <r>
          <rPr>
            <b/>
            <sz val="9"/>
            <color indexed="81"/>
            <rFont val="Tahoma"/>
            <family val="2"/>
          </rPr>
          <t xml:space="preserve">Aildrydar, dilyn, ateb, ffefryn, a chlic-drwodd. </t>
        </r>
        <r>
          <rPr>
            <sz val="9"/>
            <color indexed="81"/>
            <rFont val="Tahoma"/>
            <family val="2"/>
          </rPr>
          <t xml:space="preserve">
Os nad oes gennych gyfrif busnes, gallwch roi amcangyfrif drwy gyfrif y rhain â llaw ar gyfer y 6 post diwethaf a lluosi hyn â swm y postiadau yn y 6 mis diwethaf.</t>
        </r>
      </text>
    </comment>
    <comment ref="AT3" authorId="0" shapeId="0" xr:uid="{1C6A46DA-DF3D-47CD-8546-9690B4ACABD2}">
      <text>
        <r>
          <rPr>
            <b/>
            <sz val="9"/>
            <color indexed="81"/>
            <rFont val="Tahoma"/>
            <family val="2"/>
          </rPr>
          <t>Nodwch unrhyw fetrigau eraill am ymgysylltu nad 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3" authorId="0" shapeId="0" xr:uid="{8231867D-E7C4-40CC-B55D-A7082CAA112C}">
      <text>
        <r>
          <rPr>
            <b/>
            <sz val="9"/>
            <color indexed="81"/>
            <rFont val="Tahoma"/>
            <family val="2"/>
          </rPr>
          <t>Nodwch faint o ddilynwyr sydd gennych ar y llwyfan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3" authorId="0" shapeId="0" xr:uid="{AC909AC1-576E-4274-96AE-138B7DCBED1B}">
      <text>
        <r>
          <rPr>
            <b/>
            <sz val="9"/>
            <color indexed="81"/>
            <rFont val="Tahoma"/>
            <family val="2"/>
          </rPr>
          <t xml:space="preserve">Dim ond cyrraedd yw hyn, nid effaith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3" authorId="0" shapeId="0" xr:uid="{A99A52EE-22BD-417F-BBA7-6128C5A25627}">
      <text>
        <r>
          <rPr>
            <sz val="11"/>
            <color theme="1"/>
            <rFont val="Calibri"/>
            <family val="2"/>
            <scheme val="minor"/>
          </rPr>
          <t xml:space="preserve">Hoffi, sylwadau, arbed, rhannu, gweld fideos ar borthiant, IGTV a Storïau. 
Os nad oes gennych gyfrif busnes, gallwch roi amcangyfrif drwy gyfrif y rhain â llaw ar gyfer y 6 post diwethaf a lluosi hyn â swm y postiadau yn y 6 mis diwethaf.
</t>
        </r>
      </text>
    </comment>
    <comment ref="AZ3" authorId="0" shapeId="0" xr:uid="{3D92022E-4F8A-479D-9558-23447CE851C9}">
      <text>
        <r>
          <rPr>
            <b/>
            <sz val="9"/>
            <color indexed="81"/>
            <rFont val="Tahoma"/>
            <family val="2"/>
          </rPr>
          <t>Nodwch unrhyw fetrigau eraill am ymgysylltu nad 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3" authorId="0" shapeId="0" xr:uid="{1BB09928-08CA-4D59-BB51-8EF73C695050}">
      <text>
        <r>
          <rPr>
            <b/>
            <sz val="9"/>
            <color indexed="81"/>
            <rFont val="Tahoma"/>
            <family val="2"/>
          </rPr>
          <t xml:space="preserve">Os yw'n briodol, nodwch faint o ddilynwyr/ffrindiau sydd gennych ar y llwyfan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3" authorId="0" shapeId="0" xr:uid="{A7878EC7-BC89-4B85-8753-F9722EBB0CEB}">
      <text>
        <r>
          <rPr>
            <b/>
            <sz val="9"/>
            <color indexed="81"/>
            <rFont val="Tahoma"/>
            <family val="2"/>
          </rPr>
          <t xml:space="preserve">Ar gyfer Snapchat, cyrhaeddiad yw Cyfanswm y Gweithiau Gweld Unigryw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3" authorId="0" shapeId="0" xr:uid="{63B73F07-B5C2-4484-A9E8-A7C5263A35BA}">
      <text>
        <r>
          <rPr>
            <b/>
            <sz val="9"/>
            <color indexed="81"/>
            <rFont val="Tahoma"/>
            <family val="2"/>
          </rPr>
          <t>Ar gyfer Snapchat, rydym yn cyfrif sgrinluniau a chwblhau straeon fel ymrwymiadau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3" authorId="0" shapeId="0" xr:uid="{08F3EA1B-E36E-4848-8A66-2CF190846205}">
      <text>
        <r>
          <rPr>
            <b/>
            <sz val="9"/>
            <color indexed="81"/>
            <rFont val="Tahoma"/>
            <family val="2"/>
          </rPr>
          <t>Nodwch unrhyw fetrigau eraill am ymgysylltu nad 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3" authorId="0" shapeId="0" xr:uid="{B1B9BC25-6441-4A90-9270-EEAF4CEA528E}">
      <text>
        <r>
          <rPr>
            <b/>
            <sz val="9"/>
            <color indexed="81"/>
            <rFont val="Tahoma"/>
            <family val="2"/>
          </rPr>
          <t xml:space="preserve">Os yw'n briodol, nodwch faint o ddilynwyr/ffrindiau sydd gennych ar y llwyfan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3" authorId="0" shapeId="0" xr:uid="{A84C11F2-C579-4F5B-9FBD-39CA04E9A428}">
      <text>
        <r>
          <rPr>
            <b/>
            <sz val="9"/>
            <color indexed="81"/>
            <rFont val="Tahoma"/>
            <family val="2"/>
          </rPr>
          <t>Ar gyfer TicToc, chwiliwn am gyfanswm y gynulleidfa a gyrhaeddoch, yn seiliedig ar eich holl bostiadau o'r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3" authorId="0" shapeId="0" xr:uid="{05DD10B2-5F02-4580-B35D-B548C16CD592}">
      <text>
        <r>
          <rPr>
            <b/>
            <sz val="9"/>
            <color indexed="81"/>
            <rFont val="Tahoma"/>
            <family val="2"/>
          </rPr>
          <t>Ar gyfer TicToc, ymgysylltiadau yw sawl gwaith roedd pobl yn hoffi a rhannu pethau a gadael sylwadau. Os nad oes gennych gyfrif busnes, gallwch roi amcangyfrif drwy gyfrif y rhain â llaw ar gyfer y 6 post diwethaf a lluosi hyn â swm y postiadau yn y 6 mis diwethaf.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3" authorId="0" shapeId="0" xr:uid="{0AD8EDAA-2673-4B2B-B656-91AFC257128B}">
      <text>
        <r>
          <rPr>
            <b/>
            <sz val="9"/>
            <color indexed="81"/>
            <rFont val="Tahoma"/>
            <family val="2"/>
          </rPr>
          <t>Nodwch unrhyw fetrigau eraill am ymgysylltu nad 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3" authorId="0" shapeId="0" xr:uid="{842B4384-7FDA-4E38-8FD5-04DF9F7778EC}">
      <text>
        <r>
          <rPr>
            <b/>
            <sz val="9"/>
            <color indexed="81"/>
            <rFont val="Tahoma"/>
            <family val="2"/>
          </rPr>
          <t>Os yw'n briodol, nodwch faint o bobl sy'n tanysgrifio i'ch sianel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3" authorId="0" shapeId="0" xr:uid="{A41BABBA-2605-4EC6-A859-9DDA1C34502A}">
      <text>
        <r>
          <rPr>
            <b/>
            <sz val="9"/>
            <color indexed="81"/>
            <rFont val="Tahoma"/>
            <family val="2"/>
          </rPr>
          <t xml:space="preserve">Ar gyfer YouTube, metrig cyrhaeddiad yw cyfrif y gweithiau roedd pobl wedi gweld eich cynnyrch.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3" authorId="0" shapeId="0" xr:uid="{BE1E0EB8-4BFB-412F-9438-6EE967111D53}">
      <text>
        <r>
          <rPr>
            <b/>
            <sz val="9"/>
            <color indexed="81"/>
            <rFont val="Tahoma"/>
            <family val="2"/>
          </rPr>
          <t>Ar gyfer YouTube, cyfrifwn y gweithiau mae pobl wedi hoffi a rhannu pethau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3" authorId="0" shapeId="0" xr:uid="{CAACF624-CFDA-4224-BEBB-63D8290E75E9}">
      <text>
        <r>
          <rPr>
            <b/>
            <sz val="9"/>
            <color indexed="81"/>
            <rFont val="Tahoma"/>
            <family val="2"/>
          </rPr>
          <t>Nodwch unrhyw fetrigau eraill am ymgysylltu nad 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3" authorId="0" shapeId="0" xr:uid="{785BB822-F808-4971-82A1-E62AB98E2BB2}">
      <text>
        <r>
          <rPr>
            <b/>
            <sz val="9"/>
            <color indexed="81"/>
            <rFont val="Tahoma"/>
            <family val="2"/>
          </rPr>
          <t>Os yw'n briodol, nodwch faint o bobl sy'n tanysgrifio i'ch sianel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V3" authorId="0" shapeId="0" xr:uid="{68217939-B4B9-4329-8A3D-B3E3C40F8DA2}">
      <text>
        <r>
          <rPr>
            <b/>
            <sz val="9"/>
            <color indexed="81"/>
            <rFont val="Tahoma"/>
            <family val="2"/>
          </rPr>
          <t>Ar gyfer Fimeo, dyma’r gweithiau roedd pobl wedi gweld eich cynnyrch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3" authorId="0" shapeId="0" xr:uid="{24CF9214-AE18-47C6-897B-FDA353927B5C}">
      <text>
        <r>
          <rPr>
            <b/>
            <sz val="9"/>
            <color indexed="81"/>
            <rFont val="Tahoma"/>
            <family val="2"/>
          </rPr>
          <t>Ar gyfer Fimeo, cyfrifwn y gweithiau mae pobl wedi hoffi a rhannu pethau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X3" authorId="0" shapeId="0" xr:uid="{53A251D0-6C46-49DC-8909-F090AFCC8C12}">
      <text>
        <r>
          <rPr>
            <b/>
            <sz val="9"/>
            <color indexed="81"/>
            <rFont val="Tahoma"/>
            <family val="2"/>
          </rPr>
          <t>Nodwch unrhyw fetrigau eraill am ymgysylltu nad 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A3" authorId="0" shapeId="0" xr:uid="{4AB94B6E-6E00-4C1D-8DEE-DE05F4B601A9}">
      <text>
        <r>
          <rPr>
            <b/>
            <sz val="9"/>
            <color indexed="81"/>
            <rFont val="Tahoma"/>
            <family val="2"/>
          </rPr>
          <t xml:space="preserve">Nodwch faint o ddilynwyr sydd gennych ar y llwyfan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B3" authorId="0" shapeId="0" xr:uid="{894BCD55-013D-4821-9DA7-D11FE199EE2B}">
      <text>
        <r>
          <rPr>
            <sz val="9"/>
            <color indexed="81"/>
            <rFont val="Tahoma"/>
            <family val="2"/>
          </rPr>
          <t xml:space="preserve">
Ar gyfer Soundcloud, dyma gyfanswm y gweithiau roedd pobl wedi chwarae eich cynnyrch</t>
        </r>
      </text>
    </comment>
    <comment ref="CC3" authorId="0" shapeId="0" xr:uid="{794C657E-0EE2-49E4-8E55-31542C03E97A}">
      <text>
        <r>
          <rPr>
            <b/>
            <sz val="9"/>
            <color indexed="81"/>
            <rFont val="Tahoma"/>
            <family val="2"/>
          </rPr>
          <t xml:space="preserve">Ar gyfer ymgysylltiad Soundcloud, cyfrifwn y gweithiau mae pobl wedi hoffi ac ailrannu pethau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D3" authorId="0" shapeId="0" xr:uid="{AB5011B6-193B-47E6-BB36-4250921BC381}">
      <text>
        <r>
          <rPr>
            <b/>
            <sz val="9"/>
            <color indexed="81"/>
            <rFont val="Tahoma"/>
            <family val="2"/>
          </rPr>
          <t>Nodwch unrhyw fetrigau eraill am ymgysylltu nad 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3" authorId="0" shapeId="0" xr:uid="{74E6B2DC-BC74-44F7-B62C-C6AEAE86F192}">
      <text>
        <r>
          <rPr>
            <b/>
            <sz val="9"/>
            <color indexed="81"/>
            <rFont val="Tahoma"/>
            <family val="2"/>
          </rPr>
          <t xml:space="preserve">Os yw'n briodol, nodwch faint o wrandawyr oedd gennych </t>
        </r>
      </text>
    </comment>
    <comment ref="CH3" authorId="0" shapeId="0" xr:uid="{110AA0B8-11F1-4646-9A94-E48AF87860AF}">
      <text>
        <r>
          <rPr>
            <b/>
            <sz val="9"/>
            <color indexed="81"/>
            <rFont val="Tahoma"/>
            <family val="2"/>
          </rPr>
          <t xml:space="preserve">Ar gyfer Spotify, cyfrifwn gyfanswm y gweithiau roedd pobl wedi hoffi eich cynnyrch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J3" authorId="0" shapeId="0" xr:uid="{9E15DDD3-3AEF-4C86-9740-FEB4DC7A0AE2}">
      <text>
        <r>
          <rPr>
            <b/>
            <sz val="9"/>
            <color indexed="81"/>
            <rFont val="Tahoma"/>
            <family val="2"/>
          </rPr>
          <t>ydynt wedi'u cynnwys - cyfraddau ymgysylltu neu sawl gwaith ichi bostio yn y 6 mis.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M3" authorId="0" shapeId="0" xr:uid="{491ED4E3-4C90-4D49-ACC0-63C05DC91C12}">
      <text>
        <r>
          <rPr>
            <b/>
            <sz val="9"/>
            <color indexed="81"/>
            <rFont val="Tahoma"/>
            <family val="2"/>
          </rPr>
          <t>Os yw'n briodol, disgrifiwch eich cymuned ar y llwyfan ac unrhyw ffigyrau ymgysylltu neu gyrraedd sydd gennych.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P3" authorId="0" shapeId="0" xr:uid="{155A9E8A-DEC0-454C-B504-CE2408867EBD}">
      <text>
        <r>
          <rPr>
            <b/>
            <sz val="9"/>
            <color indexed="81"/>
            <rFont val="Tahoma"/>
            <family val="2"/>
          </rPr>
          <t>Os yw'n briodol, disgrifiwch eich cymuned ar y llwyfan ac unrhyw ffigyrau ymgysylltu neu gyrraedd sydd gennych.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Jones</author>
    <author>Sandra Hicks</author>
    <author>Iona Lamy-Yang</author>
  </authors>
  <commentList>
    <comment ref="B1" authorId="0" shapeId="0" xr:uid="{7F5FA153-B5A2-4C35-8577-D82446387928}">
      <text>
        <r>
          <rPr>
            <sz val="9"/>
            <color indexed="81"/>
            <rFont val="Tahoma"/>
            <family val="2"/>
          </rPr>
          <t xml:space="preserve">
Os cafodd y digwyddiad ei gyflwyno'n ddigidol, nodwch gymaint o wybodaeth â phosibl dan bob categori.</t>
        </r>
      </text>
    </comment>
    <comment ref="D1" authorId="1" shapeId="0" xr:uid="{00000000-0006-0000-0700-000001000000}">
      <text>
        <r>
          <rPr>
            <sz val="9"/>
            <color indexed="81"/>
            <rFont val="Tahoma"/>
            <family val="2"/>
          </rPr>
          <t>Mae darn o waith yn broffesiynol os yw’r perfformwyr yn cael eu talu ac yn gweithio’n broffesiynol yn y diwydiant. Nid yw perfformiadau â thocynnau yn berfformiadau proffesiynol oni fydd y perfformwyr yn cael eu talu ac yn gweithio’n broffesiynol yn y diwydiant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H2" authorId="1" shapeId="0" xr:uid="{00000000-0006-0000-0700-000002000000}">
      <text>
        <r>
          <rPr>
            <sz val="9"/>
            <color indexed="81"/>
            <rFont val="Tahoma"/>
            <family val="2"/>
          </rPr>
          <t>Os cyflwynwyd y cynhyrchiad mewn iaith ar wahân I Cymraeg neu Saesneg</t>
        </r>
      </text>
    </comment>
    <comment ref="I2" authorId="2" shapeId="0" xr:uid="{66B3C98F-33E6-4AC7-8C09-6F80815C7229}">
      <text>
        <r>
          <rPr>
            <sz val="9"/>
            <color indexed="81"/>
            <rFont val="Tahoma"/>
            <family val="2"/>
          </rPr>
          <t>rhaniad 50:50 o'r Gymraeg a'r Saesneg</t>
        </r>
      </text>
    </comment>
    <comment ref="J2" authorId="1" shapeId="0" xr:uid="{00000000-0006-0000-0700-000004000000}">
      <text>
        <r>
          <rPr>
            <sz val="9"/>
            <color indexed="81"/>
            <rFont val="Tahoma"/>
            <family val="2"/>
          </rPr>
          <t xml:space="preserve">Os nad oedd y cynhyrchiad yn cynnwys Cymraeg a Saesneg yn unig ond yn cynnwys dwy neu fwy o ieithoedd e.e Cymraeg, Saesneg a Groeg </t>
        </r>
      </text>
    </comment>
    <comment ref="U3" authorId="1" shapeId="0" xr:uid="{00000000-0006-0000-0700-000005000000}">
      <text>
        <r>
          <rPr>
            <sz val="9"/>
            <color indexed="81"/>
            <rFont val="Tahoma"/>
            <family val="2"/>
          </rPr>
          <t>25 ac iau</t>
        </r>
      </text>
    </comment>
    <comment ref="AC3" authorId="2" shapeId="0" xr:uid="{7CCEDDC5-D7A6-44D0-98C8-C7F9EF0D43E9}">
      <text>
        <r>
          <rPr>
            <sz val="9"/>
            <color indexed="81"/>
            <rFont val="Tahoma"/>
            <family val="2"/>
          </rPr>
          <t xml:space="preserve">Prosiect sy’n bodloni un neu ragor o'r pedwar maen prawf penodol i’r fath brosiect. 
Amcanion - a yw'r prosiect wedi'i anelu at sicrhau canlyniadau iechyd neu les i gyfranogwyr?
Partneriaid - a yw’r Ymddiriedolaeth GIG, Bwrdd Iechyd neu sefydliad trydydd sector megis MIND Cymru neu'r Gymdeithas Alzheimer yn bartner?
Lleoliad - a yw'r prosiect yn digwydd mewn lleoliad gofal iechyd (cartref gofal/ysbyty)?
Pwnc - a yw’r prosiect celfyddydol yn mynd i'r afael â chyflwr/thema iechyd (fel dryswch neu iechyd meddwl)?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Iona Lamy-Yang</author>
    <author>Sandra Hicks</author>
  </authors>
  <commentList>
    <comment ref="E1" authorId="0" shapeId="0" xr:uid="{B1C0E737-9BFE-4938-A1EB-6DDD04A4CF6B}">
      <text>
        <r>
          <rPr>
            <b/>
            <sz val="9"/>
            <color indexed="81"/>
            <rFont val="Tahoma"/>
            <family val="2"/>
          </rPr>
          <t xml:space="preserve">Dwyieithog: </t>
        </r>
        <r>
          <rPr>
            <sz val="9"/>
            <color indexed="81"/>
            <rFont val="Tahoma"/>
            <family val="2"/>
          </rPr>
          <t>rhaniad 50:50 o'r Gymraeg a'r Saesneg</t>
        </r>
        <r>
          <rPr>
            <b/>
            <sz val="9"/>
            <color indexed="81"/>
            <rFont val="Tahoma"/>
            <family val="2"/>
          </rPr>
          <t xml:space="preserve">
Amlieithog: </t>
        </r>
        <r>
          <rPr>
            <sz val="9"/>
            <color indexed="81"/>
            <rFont val="Tahoma"/>
            <family val="2"/>
          </rPr>
          <t>Dwy iaith neu'n fwy, ar wahan I Cymraeg a Saesneg e.e Cymraeg, Saesneg a Groeg</t>
        </r>
        <r>
          <rPr>
            <b/>
            <sz val="9"/>
            <color indexed="81"/>
            <rFont val="Tahoma"/>
            <family val="2"/>
          </rPr>
          <t xml:space="preserve">
Iaith arall:</t>
        </r>
        <r>
          <rPr>
            <sz val="9"/>
            <color indexed="81"/>
            <rFont val="Tahoma"/>
            <family val="2"/>
          </rPr>
          <t xml:space="preserve"> Iaith arall ar wahan i Cymraeg a Saesneg
</t>
        </r>
      </text>
    </comment>
    <comment ref="J3" authorId="1" shapeId="0" xr:uid="{00000000-0006-0000-0800-000001000000}">
      <text>
        <r>
          <rPr>
            <sz val="9"/>
            <color indexed="81"/>
            <rFont val="Tahoma"/>
            <family val="2"/>
          </rPr>
          <t>25 ac iau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Iona Lamy-Yang</author>
  </authors>
  <commentList>
    <comment ref="I1" authorId="0" shapeId="0" xr:uid="{2F5C03C6-8F5D-4FE2-9F46-0163D7649F6B}">
      <text>
        <r>
          <rPr>
            <b/>
            <sz val="9"/>
            <color indexed="81"/>
            <rFont val="Tahoma"/>
            <family val="2"/>
          </rPr>
          <t>Bydd yn cynnwys perfformiadau nad oeddent yn rhan o'ch rhaglen.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Hicks</author>
  </authors>
  <commentList>
    <comment ref="R1" authorId="0" shapeId="0" xr:uid="{00000000-0006-0000-0F00-000001000000}">
      <text>
        <r>
          <rPr>
            <sz val="9"/>
            <color indexed="81"/>
            <rFont val="Tahoma"/>
            <family val="2"/>
          </rPr>
          <t>25 ac iau</t>
        </r>
      </text>
    </comment>
  </commentList>
</comments>
</file>

<file path=xl/sharedStrings.xml><?xml version="1.0" encoding="utf-8"?>
<sst xmlns="http://schemas.openxmlformats.org/spreadsheetml/2006/main" count="2525" uniqueCount="993">
  <si>
    <t>Cyflwyniad a chefndir</t>
  </si>
  <si>
    <t xml:space="preserve">Mae pob sefydliad yn y Portffolio yn llenwi’r arolwg ddwywaith y flwyddyn fel rhan o'u hamodau grant. Mae'r arolwg yn casglu data am ddigwyddiadau a gwaith celfyddydol gan y Portffolio a nifer y gweithwyr yno. Mae rhagor o wybodaeth, gan gynnwys cwestiynau, canllawiau a chanfyddiadau’r arolygon blaenorol, ar ein gwefan:                            </t>
  </si>
  <si>
    <t>Canllawiau: Arolwg Portffolio Celfyddydol Cymru</t>
  </si>
  <si>
    <t>Strwythur yr arolwg</t>
  </si>
  <si>
    <t>Effaith y pandemig</t>
  </si>
  <si>
    <t>Arddangosfeydd</t>
  </si>
  <si>
    <t>Gwaith cyfranogol plant a phobl ifanc</t>
  </si>
  <si>
    <t>Gwaith cyfranogol cyffredinol</t>
  </si>
  <si>
    <t>Teithio gwaith</t>
  </si>
  <si>
    <t>Darllediadau ac ar-lein</t>
  </si>
  <si>
    <t>Ffilmiau</t>
  </si>
  <si>
    <t>Gwefan a’r cyfryngau cymdeithasol</t>
  </si>
  <si>
    <t xml:space="preserve">Lleoliadau cyflwyno </t>
  </si>
  <si>
    <t>Hyfforddiant, gweithdai neu ddigwyddiadau</t>
  </si>
  <si>
    <t>Preswylfeydd tenantiaid ac artistiaid</t>
  </si>
  <si>
    <t>Sgyrsiau a sesiynau holi ac ymateb</t>
  </si>
  <si>
    <t>Perfformiadau amgylcheddol</t>
  </si>
  <si>
    <t>Nid oes yn yr arolwg yma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</si>
  <si>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FS Me Light"/>
      </rPr>
      <t>Cyflogaeth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</si>
  <si>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FS Me Light"/>
      </rPr>
      <t>Gwirfoddolwyr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</si>
  <si>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FS Me Light"/>
      </rPr>
      <t>Byrddau Rheoli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</si>
  <si>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FS Me Light"/>
      </rPr>
      <t>na'r cwestiynau newydd am Weithwyr Llawrydd</t>
    </r>
  </si>
  <si>
    <t xml:space="preserve">Cânt eu cynnwys yn yr arolwg nesaf am ail hanner y flwyddyn. </t>
  </si>
  <si>
    <t>Dyddiad cau cyflwyno’r arolwg</t>
  </si>
  <si>
    <t>Manylion cyswllt</t>
  </si>
  <si>
    <t xml:space="preserve">Gydag unrhyw gwestiynau neu am gymorth llenwi'r ffurflen, cysylltwch â'r tîm ymchwil: ymchwil@celf.cymru </t>
  </si>
  <si>
    <t>Rhestr o dermau, diffiniadau a meini prawf</t>
  </si>
  <si>
    <t>Dyma restr o ddiffiniadau cyffredinol ar gyfer yr arolwg:</t>
  </si>
  <si>
    <t>Dewisiadau iaith</t>
  </si>
  <si>
    <t>Mae'r opsiynau iaith drwy’r arolwg yn cynnwys y rhain:</t>
  </si>
  <si>
    <t>Saesneg, Cymraeg, Dwyieithog, Amlieithog, Arall ac Iaith heb fod yn berthnasol.</t>
  </si>
  <si>
    <r>
      <rPr>
        <sz val="12"/>
        <color theme="1"/>
        <rFont val="FS Me"/>
      </rPr>
      <t>Dwyieithog</t>
    </r>
    <r>
      <rPr>
        <b/>
        <sz val="12"/>
        <color theme="1"/>
        <rFont val="FS Me Light"/>
      </rPr>
      <t xml:space="preserve"> </t>
    </r>
    <r>
      <rPr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FS Me Light"/>
      </rPr>
      <t>R</t>
    </r>
    <r>
      <rPr>
        <sz val="12"/>
        <color theme="1"/>
        <rFont val="FS Me Light"/>
      </rPr>
      <t>haniad 50:50 o'r Gymraeg a'r Saesneg</t>
    </r>
  </si>
  <si>
    <r>
      <rPr>
        <sz val="12"/>
        <color theme="1"/>
        <rFont val="FS Me"/>
      </rPr>
      <t xml:space="preserve">Arall </t>
    </r>
    <r>
      <rPr>
        <sz val="11"/>
        <color theme="1"/>
        <rFont val="Calibri"/>
        <family val="2"/>
        <scheme val="minor"/>
      </rPr>
      <t xml:space="preserve">- </t>
    </r>
    <r>
      <rPr>
        <sz val="12"/>
        <color theme="1"/>
        <rFont val="FS Me Light"/>
      </rPr>
      <t>os cyflwynwyd y cynhyrchiad mewn iaith ar wahân i Gymraeg neu Saesneg</t>
    </r>
  </si>
  <si>
    <r>
      <t xml:space="preserve">Amlieithog - </t>
    </r>
    <r>
      <rPr>
        <sz val="12"/>
        <color theme="1"/>
        <rFont val="FS Me Light"/>
      </rPr>
      <t>os nad oedd y cynhyrchiad yn cynnwys Cymraeg A Saesneg yn unig ond yn cynnwys dwy neu fwy o ieithoedd; e.e. Cymraeg, Saesneg a Groeg</t>
    </r>
  </si>
  <si>
    <r>
      <rPr>
        <sz val="12"/>
        <color theme="1"/>
        <rFont val="FS Me"/>
      </rPr>
      <t>Iaith heb fod yn berthnasol</t>
    </r>
    <r>
      <rPr>
        <b/>
        <sz val="12"/>
        <color theme="1"/>
        <rFont val="FS Me Light"/>
      </rPr>
      <t xml:space="preserve"> </t>
    </r>
    <r>
      <rPr>
        <sz val="11"/>
        <color theme="1"/>
        <rFont val="Calibri"/>
        <family val="2"/>
        <scheme val="minor"/>
      </rPr>
      <t xml:space="preserve">– </t>
    </r>
    <r>
      <rPr>
        <sz val="12"/>
        <color theme="1"/>
        <rFont val="FS Me Light"/>
      </rPr>
      <t>mae’r dewis hwn ar gael yn unig ar gwestiynau penodol lle mae’n synhwyrol ei gynnwys.</t>
    </r>
  </si>
  <si>
    <r>
      <t xml:space="preserve">Sesiwn - </t>
    </r>
    <r>
      <rPr>
        <sz val="12"/>
        <color theme="1"/>
        <rFont val="FS Me Light"/>
      </rPr>
      <t>Mae un 'sesiwn' yn gallu para am hanner diwrnod neu lai. Nodwch y iaith cafodd y sesiynau ei gyflwyno</t>
    </r>
  </si>
  <si>
    <r>
      <rPr>
        <sz val="12"/>
        <color theme="1"/>
        <rFont val="FS Me"/>
      </rPr>
      <t xml:space="preserve">Mynychiadau – </t>
    </r>
    <r>
      <rPr>
        <sz val="12"/>
        <color theme="1"/>
        <rFont val="FS Me Light"/>
      </rPr>
      <t>cofnodwch gyfanswm y mynychiadau i sesiynau dan iaith y sesiwn, ni waeth beth yw iaith y cyfranogwyr</t>
    </r>
  </si>
  <si>
    <r>
      <rPr>
        <sz val="12"/>
        <color theme="1"/>
        <rFont val="FS Me"/>
      </rPr>
      <t>Sesiwn ddigido</t>
    </r>
    <r>
      <rPr>
        <sz val="12"/>
        <color theme="1"/>
        <rFont val="FS Me Light"/>
      </rPr>
      <t>l</t>
    </r>
    <r>
      <rPr>
        <b/>
        <sz val="12"/>
        <color theme="1"/>
        <rFont val="FS Me Light"/>
      </rPr>
      <t xml:space="preserve"> -</t>
    </r>
    <r>
      <rPr>
        <sz val="12"/>
        <color theme="1"/>
        <rFont val="FS Me Light"/>
      </rPr>
      <t xml:space="preserve"> uwchlwytho fideo wedi'i recordio ymlaen llaw neu'n fyw o weithgaredd cyfranogol</t>
    </r>
  </si>
  <si>
    <r>
      <rPr>
        <sz val="12"/>
        <color theme="1"/>
        <rFont val="FS Me"/>
      </rPr>
      <t>Mynychiadau i sesiynau digidol</t>
    </r>
    <r>
      <rPr>
        <sz val="11"/>
        <color theme="1"/>
        <rFont val="Calibri"/>
        <family val="2"/>
        <scheme val="minor"/>
      </rPr>
      <t xml:space="preserve"> - </t>
    </r>
    <r>
      <rPr>
        <sz val="12"/>
        <color theme="1"/>
        <rFont val="FS Me Light"/>
      </rPr>
      <t>nifer y gweithiau y mae rhywun yn gweld y sesiwn ddigidol a uwchlwythir.</t>
    </r>
  </si>
  <si>
    <r>
      <rPr>
        <sz val="12"/>
        <color rgb="FF404040"/>
        <rFont val="FS Me"/>
      </rPr>
      <t xml:space="preserve">Perfformiad digidol </t>
    </r>
    <r>
      <rPr>
        <b/>
        <sz val="12"/>
        <color rgb="FF404040"/>
        <rFont val="FS Me Light"/>
      </rPr>
      <t>-</t>
    </r>
    <r>
      <rPr>
        <sz val="12"/>
        <color rgb="FF404040"/>
        <rFont val="FS Me Light"/>
      </rPr>
      <t xml:space="preserve"> uwchlwytho fideo wedi'i recordio ymlaen llaw neu’n fyw o berfformiad.</t>
    </r>
  </si>
  <si>
    <r>
      <rPr>
        <sz val="12"/>
        <color rgb="FF404040"/>
        <rFont val="FS Me"/>
      </rPr>
      <t>Mynychiadau i berfformiadau digidol</t>
    </r>
    <r>
      <rPr>
        <b/>
        <sz val="12"/>
        <color rgb="FF404040"/>
        <rFont val="FS Me Light"/>
      </rPr>
      <t xml:space="preserve"> -</t>
    </r>
    <r>
      <rPr>
        <sz val="12"/>
        <color rgb="FF404040"/>
        <rFont val="FS Me Light"/>
      </rPr>
      <t xml:space="preserve"> nifer y gweithiau y mae rhywun yn gweld yr hyn a uwchlwythir.</t>
    </r>
  </si>
  <si>
    <r>
      <rPr>
        <sz val="12"/>
        <color theme="1"/>
        <rFont val="FS Me"/>
      </rPr>
      <t>Cynhyrchu proffesiynol</t>
    </r>
    <r>
      <rPr>
        <sz val="11"/>
        <color theme="1"/>
        <rFont val="Calibri"/>
        <family val="2"/>
        <scheme val="minor"/>
      </rPr>
      <t xml:space="preserve"> - </t>
    </r>
    <r>
      <rPr>
        <sz val="12"/>
        <color theme="1"/>
        <rFont val="FS Me Light"/>
      </rPr>
      <t>Mae darn o waith yn broffesiynol os yw’r perfformwyr yn cael eu talu ac yn gweithio’n broffesiynol yn y diwydiant. Nid yw perfformiadau â thocynnau yn berfformiadau proffesiynol oni fydd y perfformwyr yn cael eu talu ac yn gweithio’n broffesiynol yn y diwydiant.</t>
    </r>
  </si>
  <si>
    <r>
      <rPr>
        <sz val="12"/>
        <color theme="1"/>
        <rFont val="FS Me"/>
      </rPr>
      <t>Plant a Phobl Ifanc</t>
    </r>
    <r>
      <rPr>
        <b/>
        <sz val="12"/>
        <color theme="1"/>
        <rFont val="FS Me Light"/>
      </rPr>
      <t xml:space="preserve"> </t>
    </r>
    <r>
      <rPr>
        <sz val="11"/>
        <color theme="1"/>
        <rFont val="Calibri"/>
        <family val="2"/>
        <scheme val="minor"/>
      </rPr>
      <t xml:space="preserve">- </t>
    </r>
    <r>
      <rPr>
        <sz val="12"/>
        <color theme="1"/>
        <rFont val="FS Me Light"/>
      </rPr>
      <t>25 ac iau</t>
    </r>
  </si>
  <si>
    <t>Y Celfyddydau ac Iechyd</t>
  </si>
  <si>
    <t xml:space="preserve">Prosiect sy’n bodloni un neu ragor o'r pedwar maen prawf penodol i’r fath brosiect. </t>
  </si>
  <si>
    <r>
      <rPr>
        <sz val="12"/>
        <rFont val="FS Me"/>
      </rPr>
      <t>Amcanion</t>
    </r>
    <r>
      <rPr>
        <sz val="12"/>
        <rFont val="FS Me Light"/>
      </rPr>
      <t xml:space="preserve"> - a yw'r prosiect wedi'i anelu at sicrhau canlyniadau iechyd neu les i gyfranogwyr?</t>
    </r>
  </si>
  <si>
    <r>
      <rPr>
        <sz val="12"/>
        <color theme="1"/>
        <rFont val="FS Me"/>
      </rPr>
      <t xml:space="preserve">Partneriaid </t>
    </r>
    <r>
      <rPr>
        <sz val="12"/>
        <color theme="1"/>
        <rFont val="FS Me Light"/>
      </rPr>
      <t>- a yw’r Ymddiriedolaeth GIG, Bwrdd Iechyd neu sefydliad trydydd sector megis MIND Cymru neu'r Gymdeithas Alzheimer yn bartner?</t>
    </r>
  </si>
  <si>
    <r>
      <t xml:space="preserve">Lleoliad </t>
    </r>
    <r>
      <rPr>
        <sz val="12"/>
        <color theme="1"/>
        <rFont val="FS Me Light"/>
      </rPr>
      <t>- a yw'r prosiect yn digwydd mewn lleoliad gofal iechyd (cartref gofal/ysbyty)?</t>
    </r>
  </si>
  <si>
    <r>
      <rPr>
        <sz val="12"/>
        <color theme="1"/>
        <rFont val="FS Me"/>
      </rPr>
      <t>Pwnc</t>
    </r>
    <r>
      <rPr>
        <sz val="12"/>
        <color theme="1"/>
        <rFont val="FS Me Light"/>
      </rPr>
      <t xml:space="preserve"> - a yw’r prosiect celfyddydol yn mynd i'r afael â chyflwr/thema iechyd (fel dryswch neu iechyd meddwl)?</t>
    </r>
  </si>
  <si>
    <t>Enw eich Sefydliad</t>
  </si>
  <si>
    <t xml:space="preserve">A oedd yn rhaid ichi ad-dalu tocynnau am weithgarwch a ddylai fod wedi digwydd yn ystod y cyfnod cloi? </t>
  </si>
  <si>
    <t>Enw'r Arddangosfa</t>
  </si>
  <si>
    <t>A oedd yr arddangosfa yn uwchlwythiad o ddigwyddiad digidol byw, digwyddiad digidol wedi'i recordio ymlaen llaw neu ddigwyddiad byw mewn man arddangos?</t>
  </si>
  <si>
    <t xml:space="preserve"> Dewiswch math y gelfyddyd o'r blwch isod </t>
  </si>
  <si>
    <t>Nifer y mynychiadau - nifer yr edrychiadau a gafodd y digwyddiad digidol neu nifer y mynychiadau i ddigwyddiad byw mewn man arddangos</t>
  </si>
  <si>
    <t>Ydy hwn yn gyfrif gwirioneddol neu amcangyfrifedig?</t>
  </si>
  <si>
    <t>Os amcangyfrifir, dywedwch wrthym beth yw'ch methodoleg?</t>
  </si>
  <si>
    <t>Ai chi oedd wedi cynhyrchu'r arddangosfa neu un deithiol oedd?</t>
  </si>
  <si>
    <t>Os dderbyniwyd yr arddangosfa fel arddangosfa teithiol, â gynhyrchwyd yr arddangosfa: yng Nghymru, ym Mhrydain ac eithrio Cymru, neu y tu allan i Brydain?</t>
  </si>
  <si>
    <t xml:space="preserve">Oedd yr arddangosfa yn gomisiwn newydd? </t>
  </si>
  <si>
    <t>Oedd yr arddangosfa yn un person neu arddangosfa grŵp?</t>
  </si>
  <si>
    <t>Sawl artist a gynrychiolwyd yn yr arddangosfa?</t>
  </si>
  <si>
    <t>O blith y rhain, faint a hyfforddwyd neu sy'n gweithio ar hyn o bryd yng Nghymru?</t>
  </si>
  <si>
    <t>Unrhyw Sylwadau:</t>
  </si>
  <si>
    <t>Arddangosfeydd â wreiddiwyd yn eich lleoliad a deithiodd i leoliadau eraill</t>
  </si>
  <si>
    <t>Gyda pha leoliadau oedd y cydweithio:</t>
  </si>
  <si>
    <t>Celf Gymunedol</t>
  </si>
  <si>
    <t>Cyhoeddiadau</t>
  </si>
  <si>
    <t>Nodweddion Gwarchodedig</t>
  </si>
  <si>
    <r>
      <t xml:space="preserve">Dywedwch wrthym am cyrhaeddiad ac effaich y gwaith.
</t>
    </r>
    <r>
      <rPr>
        <b/>
        <sz val="12"/>
        <rFont val="FS Me Light"/>
      </rPr>
      <t xml:space="preserve">Os ydych wedi ticio unrhyw un o'r opsiynau targedu, esboniwch pam yma.
</t>
    </r>
  </si>
  <si>
    <t>Os mai'ch arddangosfa chi oedd, aeth hi ar daith i:</t>
  </si>
  <si>
    <t>Rhestrwch y godau post aeth yr arddangosfa i:</t>
  </si>
  <si>
    <t>Os mai cydprosiect â lleoliadau eraill oedd yr arddangosfa, ble cafodd ei chynnal?</t>
  </si>
  <si>
    <t>Oedd yr arddangosfa mewn lleoliad arall heblaw am yn eich prif leoliad:</t>
  </si>
  <si>
    <t>Oedd yr arddangosfa yn canolbwyntio ar waith artistiaid cymunedol?</t>
  </si>
  <si>
    <t>Os cynhyrchwyd unrhyw gyhoeddiadau ar gyfer yr arddangosfa, ym mha iaith y cawsant eu cyhoeddi:</t>
  </si>
  <si>
    <t>Â guradurwyd yr arddangosfa gan artistiaid o'r grŵpiau canlynol:</t>
  </si>
  <si>
    <t>Wnaeth yr arddangosfa dargedu pobl o unrhyw un o'r grwpiau canlynol?</t>
  </si>
  <si>
    <t>Math o Celfyddydau Gweledol:</t>
  </si>
  <si>
    <t>Math o Crefftau a'r Celfyddydau Cymwys:</t>
  </si>
  <si>
    <t>Lleoliadau eraill yng Nghymru</t>
  </si>
  <si>
    <t>Lleoliadau eraill ym Mhrydain (nid Cymru)</t>
  </si>
  <si>
    <t>Y tu allan i Brydain</t>
  </si>
  <si>
    <t>Saesneg</t>
  </si>
  <si>
    <t>Cymraeg</t>
  </si>
  <si>
    <t>Dwyieithog</t>
  </si>
  <si>
    <t>Amlieithog</t>
  </si>
  <si>
    <t>Iaith Arall</t>
  </si>
  <si>
    <t>Pobl Anabl</t>
  </si>
  <si>
    <t>Pobl Du, Asiaidd a Lleiafrifoedd Etnig</t>
  </si>
  <si>
    <t>Plant a Phobl Ifanc</t>
  </si>
  <si>
    <t>Pobl Lesbaidd, Hoywon, neu Deurywiol</t>
  </si>
  <si>
    <t>Pobl Hyn (dros 50)</t>
  </si>
  <si>
    <t>Menywod beichiog neu sydd ar gyfnod mamolaeth</t>
  </si>
  <si>
    <t>Pobl gydau credoau crefyddol penodol</t>
  </si>
  <si>
    <t>Pobl Trawsrywiol</t>
  </si>
  <si>
    <t>Siaradwyr Cymraeg</t>
  </si>
  <si>
    <t>Teuluoedd</t>
  </si>
  <si>
    <t>Celfyddydau a Iechyd</t>
  </si>
  <si>
    <t>Pobl Ddigartref</t>
  </si>
  <si>
    <t>Teuluoedd ar incwm isel</t>
  </si>
  <si>
    <t>Ffoaduriaid a Cheiswyr lloches</t>
  </si>
  <si>
    <t>Cymunedau Sipsi, Roma a Theithwyr</t>
  </si>
  <si>
    <t>Pobl ifanc nad ydynt mewn addysg (NEET)</t>
  </si>
  <si>
    <t>Teitl y Prosiect</t>
  </si>
  <si>
    <t>Celfyddyd</t>
  </si>
  <si>
    <t>Oedd y sesiwn yn un ddigidol fyw, un ddigidol wedi'i recordio ymlaen llaw neu un wyneb yn wyneb?</t>
  </si>
  <si>
    <t>Gwaith ymgyfranogol gyda phlant a phobl ifainc mewn ysgolion</t>
  </si>
  <si>
    <t>Gweithgaredd cyfranogol i blant a phobl ifainc tu allan i'r ysgol</t>
  </si>
  <si>
    <t>Gweithgaredd cyfranogol i blant a phobl ifainc tu mewn a tu fas i'r ysgol</t>
  </si>
  <si>
    <t xml:space="preserve">Geithgareddau cyfranogol wedi'i amserlennu'n rheolaidd: theatr ieuenctid/cerdd/dawns/perfformio </t>
  </si>
  <si>
    <t>Nifer o perfformiadau o ganlyniad I'r prosiect: un perfformiad digidol yw uwchlwytho naill ai fideo wedi'i recordio ymlaen neu fideo byw o berfformiad. Un perfformiad yw un uwchlwythiad.</t>
  </si>
  <si>
    <t>Nifer o mynychiadau o ganlyniad i'r prosiect:</t>
  </si>
  <si>
    <r>
      <t xml:space="preserve">Oedd y prosiect yn targedu pobl o'r grwpiau yma? </t>
    </r>
    <r>
      <rPr>
        <b/>
        <sz val="11"/>
        <rFont val="FS Me Light"/>
      </rPr>
      <t>Os oedd, esboniwch sut yn y golofn olaf.</t>
    </r>
  </si>
  <si>
    <t>Rhestrwch y godau post wnaeth y gweithgaredd cymrud lle:</t>
  </si>
  <si>
    <r>
      <t xml:space="preserve">Dywedwch wrthym am cyrhaeddiad ac effaith  y gweithgaredd. 
</t>
    </r>
    <r>
      <rPr>
        <b/>
        <sz val="11"/>
        <rFont val="FS Me Light"/>
      </rPr>
      <t>Os ydych wedi ticio unrhyw un o'r opsiynau targedu, esboniwch pam yma.</t>
    </r>
  </si>
  <si>
    <t xml:space="preserve"> Nifer y sesiynau - sesiwn ddigidol yw uwchlwytho naill ai fideo wedi'i recordio ymlaen llaw neu fideo byw o ryw fath o weithgarwch cyfranogol. Un sesiwn yw pob tro mae rhywun yn uwchlwytho gwaith.</t>
  </si>
  <si>
    <t xml:space="preserve">Nifer y mynychiadau - dyma nifer yr edrychiadau a gafodd sesiwn ddigidol neu, gyda sesiwn wyneb yn wyneb, nifer y mynychiadau </t>
  </si>
  <si>
    <t>Nifer o ysgolion Cymru yr ymwelsoch â hwy neu sy'n cymrud rhan yn eich prosiectau addysg?</t>
  </si>
  <si>
    <t>Pryd mae'r gweithgaredd ymgyfranogol yn cymryd lle?</t>
  </si>
  <si>
    <t>Unrhyw Sylwadau</t>
  </si>
  <si>
    <t>Nifer o Sesiynau - sesiwn ddigidol yw uwchlwytho naill ai fideo wedi'i recordio ymlaen llaw neu fideo byw o ryw fath o weithgarwch cyfranogol. Un sesiwn yw pob tro mae rhywun yn uwchlwytho gwaith.</t>
  </si>
  <si>
    <t>Nifer y mynychiadau – sawl tro roedd pobl wedi edrych ar y gwaith</t>
  </si>
  <si>
    <t>Pa ystod oed wnaeth eich gweithgaredd targedu? (tu mewn a tu fas i'r ysgol)</t>
  </si>
  <si>
    <t>Dewiswch y celfyddyd rydych yn amserlennu'n rheolaidd gwaith ymgyfranogol ynddynt</t>
  </si>
  <si>
    <t>0-4</t>
  </si>
  <si>
    <t>5-10</t>
  </si>
  <si>
    <t>11-16</t>
  </si>
  <si>
    <t>17-25</t>
  </si>
  <si>
    <t>Pobl Du, Asiaidd a Lleiafrifoedd Ethnig</t>
  </si>
  <si>
    <t>Math o Gelfyddyd</t>
  </si>
  <si>
    <t>Gweithgarwch Ymgyfranogol Cyffredinol</t>
  </si>
  <si>
    <t>Rhestrwch y côdau post lle wnaeth y gweithgarwch ymgyfranogol cymrud lle:</t>
  </si>
  <si>
    <t>O'r gweithgarwch cyfranogol cyffredinol, faint o berfformiadau amatur a lwyfannwyd gan grwpiau theatr/cerddorol/dawns/perfformio yn y chwe mis diwethaf? (Gyda digwyddiadau digidol neu rai wedi'i recordio ymlaen llaw, un perfformiad yw un uwchlwythiad)</t>
  </si>
  <si>
    <t xml:space="preserve">O'r gweithgarwch cyfranogol cyffredinol, faint o ffilmiau amatur a grewyd ac a sgriniwyd gan grwpiau celfyddydol yn y 6 mis diwethaf? </t>
  </si>
  <si>
    <r>
      <t xml:space="preserve">Dywedwch wrthym y cyrhaeddiad ac effaich y gweithgaredd.
</t>
    </r>
    <r>
      <rPr>
        <b/>
        <sz val="11"/>
        <rFont val="FS Me Light"/>
      </rPr>
      <t>Os ydych wedi ticio unrhyw un o'r opsiynau targedu, esboniwch pam yma.</t>
    </r>
  </si>
  <si>
    <t>Nifer y mynychiadau - dyma nifer y gweithiau mae pobl wedi edrych ar sesiwn ddigidol wedi’i huwchlwytho. Ar gyfer sesiwn wyneb yn wyneb, dyma nifer y mynychiadau i'r sesiwn.</t>
  </si>
  <si>
    <t>Pobl Lesbiaidd, Hoywon, neu Deurywiol</t>
  </si>
  <si>
    <t>Pobl Drawsrywiol</t>
  </si>
  <si>
    <t>Enw'r Cynyrchiad</t>
  </si>
  <si>
    <t>A gafodd y cynhyrchiad ei berfformio am y tro cyntaf?</t>
  </si>
  <si>
    <t>Â dargedwyd y cynyrchiad yn benodol at ysgolion yng Nghymru?</t>
  </si>
  <si>
    <t>A oedd yn gydgynhyrchiad:</t>
  </si>
  <si>
    <t>Enwch y sefydliad y buoch yn cydweithio af:</t>
  </si>
  <si>
    <r>
      <t xml:space="preserve">Sylwadau: </t>
    </r>
    <r>
      <rPr>
        <b/>
        <sz val="11"/>
        <rFont val="FS Me Light"/>
      </rPr>
      <t>Os ydych wedi ticio unrhyw un o'r opsiynau targedu, esboniwch pam yma.</t>
    </r>
  </si>
  <si>
    <t>Oedd yn berfformiad digidol byw, perfformiad digidol wedi'i recordio ymlaen llaw neu berfformiad byw? Perfformiad digidol byw/perfformiad digidol wedi'i recordio ymlaen llaw/perfformiad byw</t>
  </si>
  <si>
    <t xml:space="preserve">Perfformiadau yng Nghymru </t>
  </si>
  <si>
    <t xml:space="preserve">Perfformiadau yn Lloegr </t>
  </si>
  <si>
    <t xml:space="preserve">Perfformiadau yn yr Alban </t>
  </si>
  <si>
    <t xml:space="preserve">Perfformiadau yng Ngogledd Iwerddon </t>
  </si>
  <si>
    <t xml:space="preserve">Perfformiadau y tu allan i Brydain </t>
  </si>
  <si>
    <t>Os ydych yn cwmni sy'n cynhyrchu, dywedwch wrthym am perfformiadau gan eich cwmni yn eich lleoliad eich hun.</t>
  </si>
  <si>
    <t>A ddefnyddiodd y perfformiad:</t>
  </si>
  <si>
    <t>Os oedd y cynhyrchiad yn cynnwys perfformiadau stryd, amcangyfrifwch nifer y gynulleidfa:</t>
  </si>
  <si>
    <t>Comisiynau Newydd</t>
  </si>
  <si>
    <t xml:space="preserve">Dywedwch wrthym fwy am gwmpas ac effaith y gwaith rydych wedi cynnwys yn yr adran hon.
</t>
  </si>
  <si>
    <t>A gafodd y cynhyrchiad ei arwain gan bobl o unrhyw un o'r grwpiau canlynol?</t>
  </si>
  <si>
    <r>
      <t>Oedd y cynhyrchiad yn targedu pobl o'r grwpiau yma?</t>
    </r>
    <r>
      <rPr>
        <b/>
        <sz val="12"/>
        <rFont val="FS Me Light"/>
      </rPr>
      <t xml:space="preserve"> Os oedd, esboniwch sut yn y golofn olaf.</t>
    </r>
  </si>
  <si>
    <t xml:space="preserve">Nifer y perfformiadau - perfformiadau digidol neu fyw. I ddigwyddiadau digidol, un perfformiad yn ystod y cyfnod cloi fyddai un uwchlwythiad o berfformiad drwy fideo byw neu fideo wedi'i recordio ymlaen llaw. Un uwchlwythiad yw un sesiwn. </t>
  </si>
  <si>
    <t>Nifer y mynychiadau - nifer y bobl sy'n mynychu digwyddiad byw neu, yn ystod y cyfnod cloi, nifer yr edrychiadau a gafodd yr uwchlwythiad.</t>
  </si>
  <si>
    <t xml:space="preserve">Rhestrwch y godau post wnaeth y cynhyrchiad teithio i: </t>
  </si>
  <si>
    <t>Â oedd y cynhyrchiad yn comisiwn newydd?</t>
  </si>
  <si>
    <t>Os oedd y cynhyrchiad yn comisiwn newydd, â oedd yr artistiaid:</t>
  </si>
  <si>
    <t>Â ysgrifennwyd y comisiwn newydd gan unrhyw o'r grŵpiau canlynol:</t>
  </si>
  <si>
    <t>Os cyhoeddwyd sgriptiau newydd gennych i gyd-fynd ag unrhyw un o'ch comisiynau newydd, nodwch isod sawl un ac ym mha gategori iaith oeddynt:</t>
  </si>
  <si>
    <t>Iaith yn Amherthnasol</t>
  </si>
  <si>
    <t>Cymraegq</t>
  </si>
  <si>
    <t>Arwyddeg Prydain (neu unrhyw iaith arwyddion arall)</t>
  </si>
  <si>
    <t>Disgrifio Awdio</t>
  </si>
  <si>
    <t>Uwchdeitlau</t>
  </si>
  <si>
    <t>Arall</t>
  </si>
  <si>
    <t>Enw'r gwaith</t>
  </si>
  <si>
    <t>Nifer o darllediadau (Darllediad 'traddodiadol' gan deledu rhwydwaith neu radio)</t>
  </si>
  <si>
    <t>Ffrydio</t>
  </si>
  <si>
    <t>Fideogynadledda</t>
  </si>
  <si>
    <t>Os mae eich sefydliad wedi cael cyfweliad am y gwaith hyn dywedwch:</t>
  </si>
  <si>
    <r>
      <t xml:space="preserve">Dywedwch wrthym am y cyrhaeddiad ac effaith  y gwaith darlledu ac ar-lein.
</t>
    </r>
    <r>
      <rPr>
        <b/>
        <sz val="12"/>
        <rFont val="FS Me Light"/>
      </rPr>
      <t>Os ydych wedi ticio unrhyw un o'r opsiynau targedu, esboniwch pam yma.</t>
    </r>
  </si>
  <si>
    <t>A gafodd ei ddarlledu ar deledu rhwydwaith:</t>
  </si>
  <si>
    <t>Sawl darllediad oedd wedi'i wneud ar radio rhwydwaith?</t>
  </si>
  <si>
    <t>A ffrwydiwyd y gwaith:</t>
  </si>
  <si>
    <t>A oedd y gwaith wedi'i fideogynadledda yn:</t>
  </si>
  <si>
    <t>Llwyfan (fel Sŵm, Timoedd Microsoft, Google Hangouts, Sgeip, ac ati)</t>
  </si>
  <si>
    <t>Nodwch eich ffigyrau mynychu am y prosiectau, a'ch dulliau o gasglu’r data.</t>
  </si>
  <si>
    <t>Yng Nghymru</t>
  </si>
  <si>
    <t>Ym Mhrydain (ac eithrio Cymru)</t>
  </si>
  <si>
    <t>Rhyngwladol</t>
  </si>
  <si>
    <t>Unrhyw Sylwadau. Cofiwch cynnwys unrhyw ffigyrau gwylio ac sut wnaethoch casglu'r data hon.</t>
  </si>
  <si>
    <t>Ar lwyfan rhywun arall (fel iPlayer, Rhwydwaith Opera BBC Sounds)?</t>
  </si>
  <si>
    <t>Nifer o cyfweliadau teledu</t>
  </si>
  <si>
    <t>Nifer o cyfweliadau radio</t>
  </si>
  <si>
    <t>Nifer o cyfweliadau ar-lein</t>
  </si>
  <si>
    <t>Enw eich sefydliad</t>
  </si>
  <si>
    <t>Teitl y Ffilm</t>
  </si>
  <si>
    <t>Ydy hon yn ffilm nodwedd neu'n ffilm fer?</t>
  </si>
  <si>
    <t>Cynnwys amgen yn fyw</t>
  </si>
  <si>
    <t>Nifer o sgriniad</t>
  </si>
  <si>
    <t>Nifer y mynychiadau a gafwyd</t>
  </si>
  <si>
    <t>A ddefnyddiodd eich sgriniad:</t>
  </si>
  <si>
    <r>
      <t xml:space="preserve">Oedd y ffilm yn targedu pobl o'r grwpiau yma? </t>
    </r>
    <r>
      <rPr>
        <b/>
        <sz val="11"/>
        <rFont val="FS Me Light"/>
      </rPr>
      <t>Os oedd, esboniwch sut yn y golofn olaf.</t>
    </r>
  </si>
  <si>
    <r>
      <t xml:space="preserve">Oedd y ffilm yn targedu neu drafod un o'r canlynol? </t>
    </r>
    <r>
      <rPr>
        <b/>
        <sz val="11"/>
        <rFont val="FS Me Light"/>
      </rPr>
      <t>Os oedd, esboniwch sut yn y golofn olaf.</t>
    </r>
  </si>
  <si>
    <r>
      <t xml:space="preserve">Dywedwch wrthym y cyrhaeddiad ac effaith y sgriniad.
</t>
    </r>
    <r>
      <rPr>
        <b/>
        <sz val="11"/>
        <rFont val="FS Me Light"/>
      </rPr>
      <t>Os ydych wedi ticio unrhyw un o'r opsiynau targedu, esboniwch pam yma.</t>
    </r>
  </si>
  <si>
    <t>A oedd yn sgriniad o berfformiad byw?</t>
  </si>
  <si>
    <t>Os oedd, pa celfyddid?</t>
  </si>
  <si>
    <t>Cyfanswm nifer yr ymweliadau â'r wefan yn ystod y chwe mis diwethaf</t>
  </si>
  <si>
    <t>Cyfanswm nifer yr ymweliadau unigryw â'r wefan yn ystod y chwe mis diwethaf</t>
  </si>
  <si>
    <t>Pa rai o'r canlynol sydd ar eich prif wefan?</t>
  </si>
  <si>
    <t xml:space="preserve">Os yw’r wybodaeth wrth law, amcangyfrifwch brif nod yr ymweliadau â’ch gwefan yn ganran o gyfanswm yr ymweliadau. Dylai’r ffigyrau i gyd dod i gyfanswm o 100%. </t>
  </si>
  <si>
    <t xml:space="preserve">Am beth rydych chi’n defnyddio’r data cynulleidfa neu ymwelydd sy’n dod ichi ar-lein? Nodwch pa rai o’r canlynol: </t>
  </si>
  <si>
    <t xml:space="preserve">Nodwch y rhwydweithiau/gwefannau cymdeithasol mae gan eich sefydliad broffil gweithredol a rheolaidd arnynt ar hyn o bryd a beth rydych chi’n ei wneud yno: </t>
  </si>
  <si>
    <t>Nifer yr uwchlwythiadau newydd o gynnwys ar lwyfannau fideo yn y 6 mis diwethaf</t>
  </si>
  <si>
    <t>Cyfanswm ffigyrau gwylio (cynnwys fideo newydd) yn y 6 mis diwethaf:</t>
  </si>
  <si>
    <t xml:space="preserve">Cyfanswm ffigyrau gwylio (holl fideo gynnwys) yn y 6 mis diwethaf </t>
  </si>
  <si>
    <t>Cynnwys artistig</t>
  </si>
  <si>
    <t>Cynnwys sain</t>
  </si>
  <si>
    <t>Cynnwys addysgol</t>
  </si>
  <si>
    <t>Gwerthiant tocynnau</t>
  </si>
  <si>
    <t>Ffordd o adael adborth gan gwsmeriaid/y gynulleidfa</t>
  </si>
  <si>
    <t>Cynnwys fideo</t>
  </si>
  <si>
    <t>Gêm ryngweithiol</t>
  </si>
  <si>
    <t>Canllawiau rhaglenni</t>
  </si>
  <si>
    <t>Gwerthu cynnyrch neu wasanaeth</t>
  </si>
  <si>
    <t>Cymorth hygyrchedd i bobl anabl</t>
  </si>
  <si>
    <t>Arall:</t>
  </si>
  <si>
    <t xml:space="preserve">Gwella’r wefan </t>
  </si>
  <si>
    <t xml:space="preserve">Datblygu eich strategaeth ar-lein </t>
  </si>
  <si>
    <t xml:space="preserve">Personoli marchnata, gwerthu neu godi arian </t>
  </si>
  <si>
    <t xml:space="preserve">Datblygu effeithiolrwydd eich marchnata </t>
  </si>
  <si>
    <t xml:space="preserve">Gwella effeithiolrwydd eich gweithgarwch datblygu </t>
  </si>
  <si>
    <t xml:space="preserve">Llywio datblygiad eich gwaith celfyddydol, digwyddiadau neu arddangosfeydd </t>
  </si>
  <si>
    <t xml:space="preserve">Llywio datblygiad eich cynhyrchion neu wasanaethau masnachol newydd </t>
  </si>
  <si>
    <t>Gweplyfr (Facebook)</t>
  </si>
  <si>
    <t>Trydar (Twitter)</t>
  </si>
  <si>
    <t>Instagram</t>
  </si>
  <si>
    <t>Snapchat</t>
  </si>
  <si>
    <t>YouTube</t>
  </si>
  <si>
    <t>Vimeo</t>
  </si>
  <si>
    <t>Soundcloud</t>
  </si>
  <si>
    <t>Spotify</t>
  </si>
  <si>
    <t>AM</t>
  </si>
  <si>
    <t xml:space="preserve">Rhwydwaith: Meithrin cynulleidfaoedd a chyfathrebu </t>
  </si>
  <si>
    <t xml:space="preserve">Llwyfan: Cynnal cynnwys creadigol </t>
  </si>
  <si>
    <t>Rhowch ystadegau ymgysylltu Gweplyfr</t>
  </si>
  <si>
    <t>Rhowch ystadegau ymgysylltu Trydar</t>
  </si>
  <si>
    <t>Rhowch ystadegau ymgysylltu Instagram</t>
  </si>
  <si>
    <t>Rhowch ffigyrau gwylio storïau Snapchat</t>
  </si>
  <si>
    <t xml:space="preserve">Rhwydwaith: : Meithrin cynulleidfaoedd a chyfathrebu </t>
  </si>
  <si>
    <t>Enw'r Cynhyrchiad</t>
  </si>
  <si>
    <t xml:space="preserve">Oedd yn berfformiad digidol byw, perfformiad digidol wedi'i recordio ymlaen llaw neu berfformiad byw? </t>
  </si>
  <si>
    <t>Â oedd y cynhyrchiad yn cynyrchiad amatur neu'n broffesiynol?</t>
  </si>
  <si>
    <t>Iaith y cynhyrchiad</t>
  </si>
  <si>
    <t>A gynhaliwyd y cynhyrchiad gan gwmni o'r tu allan i Brydain?</t>
  </si>
  <si>
    <t>Nifer o perfformiadau - un perfformiad yw uwchlwytho naill ai fideo wedi'i recordio ymlaen neu fideo byw o berfformiad. Un perfformiad yw un uwchlwythiad.</t>
  </si>
  <si>
    <t>Nifer y mynychiadau - nifer y bobl sy'n mynychu digwyddiad byw neu, nifer yr edrychiadau a gafodd yr uwchlwythiad</t>
  </si>
  <si>
    <t>Â wnaeth y perfformiad defnyddio:</t>
  </si>
  <si>
    <r>
      <t xml:space="preserve">Oedd y cynhyrchiad yn targedu pobl o'r grwpiau yma? </t>
    </r>
    <r>
      <rPr>
        <b/>
        <sz val="11"/>
        <rFont val="FS Me Light"/>
      </rPr>
      <t>Os oedd, esboniwch sut yn y golofn olaf.</t>
    </r>
  </si>
  <si>
    <t>Nifer y perfformiadau yr oedd yn fwriad i’w dangos ond roedd yn rhaid eu canslo oherwydd y pandemig.</t>
  </si>
  <si>
    <r>
      <t>Beth yw cyrhaeddiad ac effaith y cynhyrchiad rydych chi wedi'i gynnal?</t>
    </r>
    <r>
      <rPr>
        <b/>
        <sz val="11"/>
        <rFont val="FS Me Light"/>
      </rPr>
      <t xml:space="preserve"> </t>
    </r>
    <r>
      <rPr>
        <sz val="11"/>
        <rFont val="FS Me Light"/>
      </rPr>
      <t xml:space="preserve"> Eich dewis chi yw llenwi’r blwch ai peidio.
</t>
    </r>
    <r>
      <rPr>
        <b/>
        <sz val="11"/>
        <rFont val="FS Me Light"/>
      </rPr>
      <t>Os ydych wedi ticio unrhyw un o'r opsiynau targedu, esboniwch pam yma.</t>
    </r>
  </si>
  <si>
    <t>Sesiwn Hyfforddi/Gweithdy, Digwydddiad neu Adnoddau/cylchlythyrau</t>
  </si>
  <si>
    <t>Enw'r hyfforddiant/gweithdy/digwyddiad</t>
  </si>
  <si>
    <t>Iaith y sesiynau/gweithdy/digwyddiad</t>
  </si>
  <si>
    <t>Sesiwn ddigidol fyddai uwchlwythiad o fideo byw neu fideo wedi'i recordio ymlaen llaw o hyfforddiant neu weithdy. Un uwchlwythiad yw un sesiwn. Mae hyfforddiant neu weithdy wyneb yn wyneb am hanner diwrnod neu lai yn un sesiwn. i adnoddau/cylchlythyrau, mae un rhifyn yn un sesiwn.</t>
  </si>
  <si>
    <t>Nifer y cyfranogwyr neu'r mynychiadau - dyma fydd nifer yr edrychiadau ar uwchlwythiad o sesiwn ddigidol. O ran wyneb yn wyneb, dyma fydd nifer y cyfranogwyr/mynychiadau a gafodd y sesiwn.
I adnoddau/cylchlythyrau, dyma nifer y derbynwyr neu'r islwythiadau os ydynt yn hysybys.</t>
  </si>
  <si>
    <r>
      <t xml:space="preserve">Oedd y sesiwn/gweithdu yn targedu pobl o'r grwpiau yma? </t>
    </r>
    <r>
      <rPr>
        <b/>
        <sz val="11"/>
        <color theme="1"/>
        <rFont val="FS Me Light"/>
      </rPr>
      <t>Os oedd, esboniwch sut yn y golofn olaf.</t>
    </r>
  </si>
  <si>
    <t>Datblygiad Proffesiynol Parhaus: Athrawon Celf</t>
  </si>
  <si>
    <r>
      <t xml:space="preserve">Unrhyw Sylwadau
</t>
    </r>
    <r>
      <rPr>
        <b/>
        <sz val="11"/>
        <color theme="1"/>
        <rFont val="FS Me Light"/>
      </rPr>
      <t>Os ydych wedi ticio unrhyw un o'r opsiynau targedu, esboniwch pam yma.</t>
    </r>
  </si>
  <si>
    <t>Os mae sesiwn/gweithdy oedd hyn, â dargedau at athrawon celf</t>
  </si>
  <si>
    <t xml:space="preserve">Math o gelfyddyd y sesiwn/gweithdy </t>
  </si>
  <si>
    <t>Tenantiaid</t>
  </si>
  <si>
    <t>Preswyliaethau Artistiaid</t>
  </si>
  <si>
    <t xml:space="preserve"> Nifer o artistiaid newydd a gweithiwyd yn ystod y chwe mis diwethaf</t>
  </si>
  <si>
    <t>Llogi lleoliadau</t>
  </si>
  <si>
    <t>Nifer y tenantiaid</t>
  </si>
  <si>
    <t>Nifer y bobl a gyflogir o fewn y corff tenantiaeth</t>
  </si>
  <si>
    <t>Nifer yr oriau o gyngor, cefnogaeth neu gymorth a roddwyd I denantiaid</t>
  </si>
  <si>
    <t>Nifer y preswylfeydd a gontractiasoch yn ystod y chwe mis diwethaf</t>
  </si>
  <si>
    <t>Nifer y preswylfeydd sydd ar waith yn ystod y chwe mis diwethaf</t>
  </si>
  <si>
    <t>Nifer y preswylfeydd a ddiweddodd yn ystod y chwe mis diwethaf</t>
  </si>
  <si>
    <t>Nifer y sefydliadau/unigolion a logodd eich lleoliad</t>
  </si>
  <si>
    <t>Oedd hyn yn sgwrs neu sesiwn holi ac ateb?</t>
  </si>
  <si>
    <t>Teitl</t>
  </si>
  <si>
    <t>Oedd yn sgwrs neu sesiwn holi ac ateb ddigidol fyw, sgwrs neu sesiwn holi ac ateb ddigidol wedi'i recordio ymlaen llaw neu sgwrs neu sesiwn holi ac ateb fyw?</t>
  </si>
  <si>
    <t>Iaith y sgwrs neu’r sesiwn Holi ac Ateb – Sgwrs neu sesiwn holi ac ateb ddigidol fyddai uwchlwythiad o fideo byw neu wedi'i recordio ymlaen llaw o weithgarwch cyfranogol. Un sgwrs neu sesiwn holi ac ateb yw un uwchlwythiad. O ran wyneb yn wyneb, un sesiwn yw sgwrs neu sesiwn holi ac ateb am hanner diwrnod neu lai.</t>
  </si>
  <si>
    <t xml:space="preserve">Dyma fydd nifer yr edrychiadau ar uwchlwythiad o sgwrs neu sesiwn holi ac ateb ddigidol. O ran sgwrs neu sesiwn holi ac ateb fyw, dyma fydd nifer y cyfranogwyr neu'r mynychiadau a gafodd y sesiwn. </t>
  </si>
  <si>
    <t>Enw'r Sefydliad:</t>
  </si>
  <si>
    <t xml:space="preserve">Oes gennych system fonitro amgylcheddol? </t>
  </si>
  <si>
    <t xml:space="preserve">Os nad oes gennych system monitro amgylcheddol, ydych chi’n anelu at sefydlu un? </t>
  </si>
  <si>
    <t>Os ydych yn anelu at sefydlu un, pa un?</t>
  </si>
  <si>
    <t>Os na, dywedwch wrthym pam:</t>
  </si>
  <si>
    <t>A oes gennych bolisi amgylcheddol ar hyn o bryd?</t>
  </si>
  <si>
    <t>EMAS</t>
  </si>
  <si>
    <t>ISO14001</t>
  </si>
  <si>
    <t>Green Dragon</t>
  </si>
  <si>
    <t>Os oes gennych system arall, dywedwch wrthym pa un:</t>
  </si>
  <si>
    <t>Celfyddydau Gweledol</t>
  </si>
  <si>
    <t>Crefft a Ffurfiau Celfyddyd Gymhwysol</t>
  </si>
  <si>
    <t>Gwirioneddol neu Amcangyfrifir</t>
  </si>
  <si>
    <t>Tarddwyd neu teithiol</t>
  </si>
  <si>
    <t>Comisiwn Newydd</t>
  </si>
  <si>
    <t>Originated</t>
  </si>
  <si>
    <t>Un person neu arddangosfa grŵp</t>
  </si>
  <si>
    <t>Teithio i:</t>
  </si>
  <si>
    <t>Safle allanol</t>
  </si>
  <si>
    <t>Community Artists</t>
  </si>
  <si>
    <t>Touring</t>
  </si>
  <si>
    <r>
      <t>Pa effaith mae</t>
    </r>
    <r>
      <rPr>
        <sz val="12"/>
        <color rgb="FF404040"/>
        <rFont val="FS Me Light"/>
      </rPr>
      <t>’r</t>
    </r>
    <r>
      <rPr>
        <vertAlign val="superscript"/>
        <sz val="12"/>
        <color rgb="FF404040"/>
        <rFont val="FS Me Light"/>
      </rPr>
      <t xml:space="preserve"> coronafeirws wedi'i chael ar eich sefydliad? Dewiswch bob categori sy'n berthnasol ichi:</t>
    </r>
  </si>
  <si>
    <r>
      <t>Os oedd newidiadau i</t>
    </r>
    <r>
      <rPr>
        <sz val="12"/>
        <color theme="1"/>
        <rFont val="FS Me Light"/>
      </rPr>
      <t>’r gweithlu</t>
    </r>
    <r>
      <rPr>
        <vertAlign val="superscript"/>
        <sz val="12"/>
        <color rgb="FF404040"/>
        <rFont val="FS Me Light"/>
      </rPr>
      <t>, nodwch sut yr effeithiwyd arno a'r niferoedd dan sylw</t>
    </r>
  </si>
  <si>
    <r>
      <t>A oedd y sesiwn yn fyw neu wedi'i recordio ymlaen</t>
    </r>
    <r>
      <rPr>
        <sz val="12"/>
        <color rgb="FF404040"/>
        <rFont val="FS Me Light"/>
      </rPr>
      <t xml:space="preserve"> llaw</t>
    </r>
    <r>
      <rPr>
        <vertAlign val="superscript"/>
        <sz val="12"/>
        <color rgb="FF404040"/>
        <rFont val="FS Me Light"/>
      </rPr>
      <t>?</t>
    </r>
  </si>
  <si>
    <t>Cyfryngau Cymysg</t>
  </si>
  <si>
    <t>Aml-gyfrwng/Cyfryngau Cymysg</t>
  </si>
  <si>
    <t>Gwirioneddol</t>
  </si>
  <si>
    <t>Tarddwyd gan ein sefyldiad ni</t>
  </si>
  <si>
    <t>Oedd</t>
  </si>
  <si>
    <t xml:space="preserve">Yng Nghymru </t>
  </si>
  <si>
    <t>Arddangosfa un person</t>
  </si>
  <si>
    <t>Do</t>
  </si>
  <si>
    <r>
      <rPr>
        <sz val="7"/>
        <color rgb="FF404040"/>
        <rFont val="FS Me Light"/>
      </rPr>
      <t xml:space="preserve"> </t>
    </r>
    <r>
      <rPr>
        <sz val="12"/>
        <color rgb="FF404040"/>
        <rFont val="FS Me Light"/>
      </rPr>
      <t>effaith ar staffio</t>
    </r>
  </si>
  <si>
    <t>Ie</t>
  </si>
  <si>
    <t>Yn fyw</t>
  </si>
  <si>
    <t>Digwyddiad digidol byw</t>
  </si>
  <si>
    <t>Sesiwn ddigidol fyw</t>
  </si>
  <si>
    <t>Perfformiad digidol byw</t>
  </si>
  <si>
    <t>Sgwrs neu sesiwn holi ac ateb ddigidol fyw</t>
  </si>
  <si>
    <t>Penodol i'r Safle</t>
  </si>
  <si>
    <t>Cerameg</t>
  </si>
  <si>
    <t>Amcangyfrif</t>
  </si>
  <si>
    <t>Derbyn fel arddangosfa teithiol</t>
  </si>
  <si>
    <t>Nac Oedd</t>
  </si>
  <si>
    <t>Ym Mhrydain, ac eithrio Cymru</t>
  </si>
  <si>
    <t>Arddangosfa grŵp</t>
  </si>
  <si>
    <t>Nac oedd</t>
  </si>
  <si>
    <t>Naddo</t>
  </si>
  <si>
    <t>ddim yn gallu cyflawni unrhyw weithgarwch digidol</t>
  </si>
  <si>
    <t>Nage</t>
  </si>
  <si>
    <t>Wedi'i recordio ymlaen llaw</t>
  </si>
  <si>
    <t>Digwyddiad digidol wedi'i recordio ymlaen llaw</t>
  </si>
  <si>
    <t>sesiwn ddigidol wedi'i recordio ymlaen llaw</t>
  </si>
  <si>
    <t>perfformiad digidol wedi'i recordio ymlaen llaw</t>
  </si>
  <si>
    <t>Sgwrs neu sesiwn holi ac ateb ddigidol wedi'i recordio ymlaen llaw</t>
  </si>
  <si>
    <t>2D</t>
  </si>
  <si>
    <t>Tecstilau</t>
  </si>
  <si>
    <t>Tu allan i Brydain</t>
  </si>
  <si>
    <t>gorfod ad-dalu tocynnau</t>
  </si>
  <si>
    <t>Wyneb yn wyneb</t>
  </si>
  <si>
    <t>Digwyddiad byw mewn man arddangos</t>
  </si>
  <si>
    <t>sesiwn wyneb yn wyneb</t>
  </si>
  <si>
    <t>perfformiad byw</t>
  </si>
  <si>
    <t>Sgwrs neu sesiwn holi ac ateb fyw</t>
  </si>
  <si>
    <t>Ffotograffiaeth</t>
  </si>
  <si>
    <t>Gemwaith</t>
  </si>
  <si>
    <t>arall</t>
  </si>
  <si>
    <t>Taith Gerdded Rithiol Dri Dimensiwn</t>
  </si>
  <si>
    <t>prosiect ffôn</t>
  </si>
  <si>
    <t>Cyfryngau Digidol</t>
  </si>
  <si>
    <t>Gwydr</t>
  </si>
  <si>
    <t>Ydy</t>
  </si>
  <si>
    <t>prosiect post</t>
  </si>
  <si>
    <t>Celf Berfformio</t>
  </si>
  <si>
    <t>Gwehyddu</t>
  </si>
  <si>
    <t>Nac ydy</t>
  </si>
  <si>
    <t>Celf Sain</t>
  </si>
  <si>
    <t>Pren</t>
  </si>
  <si>
    <t>Cerflun</t>
  </si>
  <si>
    <t>Metel/Arian</t>
  </si>
  <si>
    <t>Ydyn</t>
  </si>
  <si>
    <t>Ydym</t>
  </si>
  <si>
    <t>Nac Ydyn</t>
  </si>
  <si>
    <t>Nac Ydym</t>
  </si>
  <si>
    <t>Plant a Phobl Ifainc</t>
  </si>
  <si>
    <t>Yn ystod oriau ysgol</t>
  </si>
  <si>
    <t>Theatr Ieuenctid</t>
  </si>
  <si>
    <t>Dawns</t>
  </si>
  <si>
    <t>Tu allan i oriau ysgol</t>
  </si>
  <si>
    <t>Cerddoriaeth Ieuenctid</t>
  </si>
  <si>
    <t>Amlddisgyblaethol</t>
  </si>
  <si>
    <t>Y ddau, yn ystod ac tu allan i oriau ysgol</t>
  </si>
  <si>
    <t>Dawns Ieuenctid</t>
  </si>
  <si>
    <t>Drama</t>
  </si>
  <si>
    <t>Celf Berfformio Ieuenctid</t>
  </si>
  <si>
    <t>Cerddoriaeth</t>
  </si>
  <si>
    <t>Opera</t>
  </si>
  <si>
    <t>oes</t>
  </si>
  <si>
    <t>Adloniant Theatr</t>
  </si>
  <si>
    <t>Na</t>
  </si>
  <si>
    <t>nac oes</t>
  </si>
  <si>
    <t>Crefft</t>
  </si>
  <si>
    <t>Llenyddiaeth</t>
  </si>
  <si>
    <t>Celf Gyhoeddus</t>
  </si>
  <si>
    <t>Cynhyrchu Ffilm</t>
  </si>
  <si>
    <t>Tu allan i Gymru</t>
  </si>
  <si>
    <t>Both inside and outside Wales (if more than one artist)</t>
  </si>
  <si>
    <t>Ffilm Nodwedd</t>
  </si>
  <si>
    <t>Ffilm Fer</t>
  </si>
  <si>
    <t>Theatr</t>
  </si>
  <si>
    <t>Amatur</t>
  </si>
  <si>
    <t>Proffesiynol</t>
  </si>
  <si>
    <t>Hyfforddiant/Gweithdy</t>
  </si>
  <si>
    <t>Digwyddiad</t>
  </si>
  <si>
    <t>Adnoddau/cylchlythyrau</t>
  </si>
  <si>
    <t>Sgwrs</t>
  </si>
  <si>
    <t>Sesiwn Holi ac ateb</t>
  </si>
  <si>
    <t>Aberystwyth Arts Centre</t>
  </si>
  <si>
    <t>Arad Goch</t>
  </si>
  <si>
    <t>Artes Mundi Prize Limited</t>
  </si>
  <si>
    <t>Artis Community Cymuned</t>
  </si>
  <si>
    <t>Arts Care Gofal Celf</t>
  </si>
  <si>
    <t>Arts Connection - Cyswllt Celf</t>
  </si>
  <si>
    <t>Ballet Cymru</t>
  </si>
  <si>
    <t>BBC National Orchestra of Wales</t>
  </si>
  <si>
    <t>Blackwood Miners' Institute</t>
  </si>
  <si>
    <t>Canolfan Gerdd William Mathias Cyf</t>
  </si>
  <si>
    <t>Canolfan Ucheldre Centre</t>
  </si>
  <si>
    <t>Chapter Cardiff Ltd.</t>
  </si>
  <si>
    <t>Community Music Wales</t>
  </si>
  <si>
    <t>Cwmni'r Frân Wen</t>
  </si>
  <si>
    <t>Dawns i Bawb</t>
  </si>
  <si>
    <t>Disability Arts Cymru</t>
  </si>
  <si>
    <t>Ffilm Cymru Wales</t>
  </si>
  <si>
    <t>Ffotogallery</t>
  </si>
  <si>
    <t>g39</t>
  </si>
  <si>
    <t>Galeri Caernarfon Cyf</t>
  </si>
  <si>
    <t>Glynn Vivian Art Gallery</t>
  </si>
  <si>
    <t>Hafren</t>
  </si>
  <si>
    <t>Head4Arts</t>
  </si>
  <si>
    <t>Hijinx Theatre</t>
  </si>
  <si>
    <t>Impelo</t>
  </si>
  <si>
    <t>Jukebox Collective</t>
  </si>
  <si>
    <t>Literature Wales</t>
  </si>
  <si>
    <t>Live Music Now Wales</t>
  </si>
  <si>
    <t>Llantarnam Grange Arts Centre</t>
  </si>
  <si>
    <t>Mid Wales Opera</t>
  </si>
  <si>
    <t>Mission Gallery</t>
  </si>
  <si>
    <t>Mostyn</t>
  </si>
  <si>
    <t>Music Theatre Wales</t>
  </si>
  <si>
    <t>National Dance Company Wales</t>
  </si>
  <si>
    <t>National Theatre Wales</t>
  </si>
  <si>
    <t>National Youth Arts Wales</t>
  </si>
  <si>
    <t>NEW Dance</t>
  </si>
  <si>
    <t>NoFit State Community Circus Ltd</t>
  </si>
  <si>
    <t>Oriel Davies Gallery</t>
  </si>
  <si>
    <t>Oriel Myrddin Trust</t>
  </si>
  <si>
    <t>Peak</t>
  </si>
  <si>
    <t>Pontardawe Arts Centre</t>
  </si>
  <si>
    <t>Pontio</t>
  </si>
  <si>
    <t>Rhondda Cynon Tâf County Borough Council</t>
  </si>
  <si>
    <t>Rubicon Dance</t>
  </si>
  <si>
    <t>Ruthin Craft Centre</t>
  </si>
  <si>
    <t>Sherman Theatre</t>
  </si>
  <si>
    <t>Sinfonia Cymru</t>
  </si>
  <si>
    <t>Taliesin Arts Centre</t>
  </si>
  <si>
    <t>Tanio - Valley &amp; Vale Community Arts</t>
  </si>
  <si>
    <t>Test Arts Centre</t>
  </si>
  <si>
    <t>The Riverfront - Newport Live</t>
  </si>
  <si>
    <t>Theatr Bara Caws</t>
  </si>
  <si>
    <t>Theatr Brycheiniog</t>
  </si>
  <si>
    <t>Theatr Clwyd</t>
  </si>
  <si>
    <t>Theatr Felinfach</t>
  </si>
  <si>
    <t>Theatr Genedlaethol Cymru</t>
  </si>
  <si>
    <t>Theatr Iolo</t>
  </si>
  <si>
    <t>Theatr Mwldan</t>
  </si>
  <si>
    <t>Theatr na nÓg</t>
  </si>
  <si>
    <t>Torch Theatre Company Limited</t>
  </si>
  <si>
    <t>trac - Music Traditions Wales</t>
  </si>
  <si>
    <t>Ty Cerdd - Music Centre Wales</t>
  </si>
  <si>
    <t>Valleys Kids</t>
  </si>
  <si>
    <t>Volcano Theatre Company Ltd</t>
  </si>
  <si>
    <t>Wales Millennium Centre</t>
  </si>
  <si>
    <t>Welsh National Opera</t>
  </si>
  <si>
    <t>Ystradgynlais Miners' Welfare and Community Hall</t>
  </si>
  <si>
    <t>Manteisiwch ar y cyfle i nodi effaith y pandemig ar eich sefydliad. Mae’n flwch sylwadau dewisol.</t>
  </si>
  <si>
    <t>Pobl ethnig a diwylliannol amrywiol</t>
  </si>
  <si>
    <t>Oedd y prosiect yn mynd i'r afael ag unrhyw un o'r meysydd canlynol? Os oedd, esboniwch sut yn y golofn olaf.</t>
  </si>
  <si>
    <t>Oedd y cynhyrchiad yn mynd i'r afael ag unrhyw un o'r meysydd canlynol? Os oedd, esboniwch sut yn y golofn olaf.</t>
  </si>
  <si>
    <t>Rhowch eich ystadegau cyrhaeddiad ar gyfer Gweplyfr</t>
  </si>
  <si>
    <t>Dilynwyr</t>
  </si>
  <si>
    <t>Rhowch eich ystadegau cyrhaeddiad ar gyfer Trydar</t>
  </si>
  <si>
    <t>Rhowch eich ystadegau cyrhaeddiad ar gyfer Instagram</t>
  </si>
  <si>
    <t>Rhowch eich ystadegau cyrhaeddiad ar gyfer Snapchat</t>
  </si>
  <si>
    <t>Tanysgrifwyr</t>
  </si>
  <si>
    <t>Nodwch gyfanswm y gweithiau roedd pobl wedi gweld eich cynnyrch ar YouTube</t>
  </si>
  <si>
    <t>Rhowch eich ystadegau ymgysylltu ar gyfer YouTube</t>
  </si>
  <si>
    <t>TikTok</t>
  </si>
  <si>
    <t>Rhowch eich ystadegau cyrhaeddiad ar gyfer Tiktok</t>
  </si>
  <si>
    <t>Rhowch ffigyrau gwylio storïau Tiktok</t>
  </si>
  <si>
    <t>Rhowch y gweithiau roedd pobl wedi gweld eich cynnyrch ar vimeo</t>
  </si>
  <si>
    <t>Rhowch eich ystadegau ymgysylltu ar gyfer Fimeo</t>
  </si>
  <si>
    <t>Rhowch gyfanswm y gweithiau roedd pobl wedi chwarae eich cynnyrch ar Soundcloud</t>
  </si>
  <si>
    <t>Rhowch eich ystadegau ymgysylltu ar gyfer Soundcloud</t>
  </si>
  <si>
    <t>Gwrandawyr/eraill</t>
  </si>
  <si>
    <t>Rhowch eich holl wrandawyr ar gyfer Spotify</t>
  </si>
  <si>
    <t>Rhowch eich ystadegau ymgysylltu ar gyfer Spotify</t>
  </si>
  <si>
    <t>Rhowch ystadegau ar gyfer llwyfannau eraill</t>
  </si>
  <si>
    <t>Pobl anabl</t>
  </si>
  <si>
    <t>Celfyddydau - cliciwch ar y ddolen i weld y rhestr o ddiffiniadau</t>
  </si>
  <si>
    <t>Oedd yr arddangosfa'n mynd i'r afael ag unrhyw un o'r meysydd canlynol? Os oedd, esboniwch sut yn y golofn olaf.</t>
  </si>
  <si>
    <t>Oedd y prosiect yn mynd i'r afael ag unrhyw un o'r meysydd canlynol? Os oedd, esboniwch sut yn y golofn olaf</t>
  </si>
  <si>
    <t>Oedd y cynhyrchiad yn mynd i'r afael ag unrhyw un o'r meysydd canlynol? Os oedd, esboniwch sut yn y golofn olaf</t>
  </si>
  <si>
    <t>Oedd y cynhyrchiad yn mynd i'r afael ag unrhyw un o'r meysydd canlynol? Os oedd, esboniwch sut yn y blwch sylwadau</t>
  </si>
  <si>
    <t>Cyfanswm y sesiynau neu'r digwyddiadau a gynhyrchir drwy logi ystafelloedd</t>
  </si>
  <si>
    <t>Ffigyrau Mynychu</t>
  </si>
  <si>
    <t>Digwyddiadau</t>
  </si>
  <si>
    <t>Mynychu</t>
  </si>
  <si>
    <t>Dangosiadau Ffilm</t>
  </si>
  <si>
    <t>Perfformiadau gan Gwmnïau Teithiol</t>
  </si>
  <si>
    <t>Perfformiadau mewn Lleoliadau Cyflwyno</t>
  </si>
  <si>
    <t>Cyfanswm y Mynychu</t>
  </si>
  <si>
    <t>Ffigyrau Cyfranogi</t>
  </si>
  <si>
    <t>Sesiynau</t>
  </si>
  <si>
    <t>Cyfranogi</t>
  </si>
  <si>
    <t>Mynediad Agored</t>
  </si>
  <si>
    <t>Cyfanswm Cyfranogi</t>
  </si>
  <si>
    <t>Gorffenedig</t>
  </si>
  <si>
    <t>Cyswllt Cyflym:</t>
  </si>
  <si>
    <t>Effaith y Coronafeirws</t>
  </si>
  <si>
    <t>Cyfranogi Plant a Phobl Ifanc</t>
  </si>
  <si>
    <t>Cyfranogi Cyffredinol</t>
  </si>
  <si>
    <t>Gweithgarwch Teithiol</t>
  </si>
  <si>
    <t>Darllediadau ac Ar-lein</t>
  </si>
  <si>
    <t>Gwefan a’r Cyfryngau Cymdeithasol</t>
  </si>
  <si>
    <t>Lleoliadau Cyflwyno</t>
  </si>
  <si>
    <t>Hyfforddiant / Gweithdai a Digwyddiadau</t>
  </si>
  <si>
    <t>Tenantiaid a Phreswylfeydd Artistiaid</t>
  </si>
  <si>
    <t>Sgyrsiau a Sesiynau Holi ac Ateb</t>
  </si>
  <si>
    <t>Perfformiad Amgylcheddol</t>
  </si>
  <si>
    <t>Dull cyflwyno</t>
  </si>
  <si>
    <t>Uwchlwytho digwyddiad digidol byw</t>
  </si>
  <si>
    <t>Mynychu digwyddiad digidol byw</t>
  </si>
  <si>
    <t>Uwchlwytho digwyddiad digidol a recordiwyd ymlaen llaw</t>
  </si>
  <si>
    <t xml:space="preserve">Mynychu digwyddiad digidol a recordiwyd ymlaen llaw </t>
  </si>
  <si>
    <t>Digwyddiad byw a gynhelir mewn man arddangos</t>
  </si>
  <si>
    <t>Mynychu digwyddiad byw mewn man arddangos</t>
  </si>
  <si>
    <t>Arddangosfeydd celf weledol yn cael eu harddangos yn ôl math o gelfyddyd yn y chwe mis diwethaf</t>
  </si>
  <si>
    <t>Cyfryngau cymysg: Nifer yr arddangosfeydd ar wahân ar ddangos</t>
  </si>
  <si>
    <t>Cyfryngau cymysg: Nifer mynychu</t>
  </si>
  <si>
    <t>Penodol i'r Safle: Nifer yr arddangosfeydd ar wahân ar ddangos</t>
  </si>
  <si>
    <t>Penodol i'r Safle: Nifer mynychu</t>
  </si>
  <si>
    <t>2 ddimensiwn: Nifer o arddangosfeydd ar wahân ar ddangos</t>
  </si>
  <si>
    <t>2 ddimensiwn: Nifer mynychu</t>
  </si>
  <si>
    <t>Ffotograffiaeth: Nifer yr arddangosfeydd ar wahân ar ddangos</t>
  </si>
  <si>
    <t>Ffotograffiaeth: Nifer mynychu</t>
  </si>
  <si>
    <t>Cyfryngau Digidol: Nifer o arddangosfeydd ar wahân ar ddangos</t>
  </si>
  <si>
    <t xml:space="preserve">Cyfryngau Digidol: Nifer mynychu </t>
  </si>
  <si>
    <t>Celf Berfformio: Nifer yr arddangosfeydd ar wahân ar ddangos</t>
  </si>
  <si>
    <t>Celf Berfformio: Nifer mynychu</t>
  </si>
  <si>
    <t>Celf Sain: Nifer o arddangosfeydd ar wahân ar ddangos</t>
  </si>
  <si>
    <t>Celf Sain: Nifer mynychu</t>
  </si>
  <si>
    <t>Cerflun: Nifer yr arddangosfeydd ar wahân ar ddangos</t>
  </si>
  <si>
    <t>Cerflun: Nifer mynychu</t>
  </si>
  <si>
    <t>Arall : Nifer o arddangosfeydd ar wahân ar ddangos</t>
  </si>
  <si>
    <t>Arall : Nifer mynychu</t>
  </si>
  <si>
    <t>Arddangosfeydd crefft yn cael eu harddangos yn ôl math o gelfyddyd yn y chwe mis diwethaf</t>
  </si>
  <si>
    <t>Aml-gyfrwng/Cyfryngau Cymysg: Nifer yr arddangosfeydd ar wahân ar ddangos</t>
  </si>
  <si>
    <t>Cyfryngau Aml-gyfrwng/Cymysg: Nifer mynychu</t>
  </si>
  <si>
    <t>Cerameg: Nifer o arddangosfeydd ar wahân ar ddangos</t>
  </si>
  <si>
    <t>Cerameg: Nifer mynychu</t>
  </si>
  <si>
    <t>Tecstilau: Nifer o arddangosfeydd ar wahân ar ddangos</t>
  </si>
  <si>
    <t>Tecstilau: Nifer mynychu</t>
  </si>
  <si>
    <t>Gemwaith: Nifer o arddangosfeydd ar wahân ar ddangos</t>
  </si>
  <si>
    <t>Gemwaith: Nifer mynychu</t>
  </si>
  <si>
    <t>Gwydr: Nifer o arddangosfeydd ar wahân ar ddangos</t>
  </si>
  <si>
    <t>Gwydr: Nifer mynychu</t>
  </si>
  <si>
    <t>Gwehyddu: Nifer o arddangosfeydd ar wahân ar ddangos</t>
  </si>
  <si>
    <t>Gwehyddu: Nifer mynychu</t>
  </si>
  <si>
    <t>Pren: Nifer o arddangosfeydd ar wahân ar ddangos</t>
  </si>
  <si>
    <t>Pren: Nifer mynychu</t>
  </si>
  <si>
    <t>Metel/Arian: Nifer o arddangosfeydd ar wahân ar ddangos</t>
  </si>
  <si>
    <t>Metel/Arian: Nifer mynychu</t>
  </si>
  <si>
    <t>A ddaeth yr arddangosfa o’ch sefydliad neu o’r tu allan fel arddangosfa deithiol?</t>
  </si>
  <si>
    <t xml:space="preserve">Daeth o’ch sefydliad </t>
  </si>
  <si>
    <t>O ble daeth arddangosfeydd teithiol?</t>
  </si>
  <si>
    <t>O Gymru</t>
  </si>
  <si>
    <t>O Brydain, ac eithrio Cymru</t>
  </si>
  <si>
    <t>Nifer y Comisiynau Newydd</t>
  </si>
  <si>
    <t>Arddangosfa Un Person</t>
  </si>
  <si>
    <t>Arddangosfa Grŵp</t>
  </si>
  <si>
    <t>Nifer yr Artistiaid a gynrychiolir mewn arddangosfeydd</t>
  </si>
  <si>
    <t>Cyfanswm yr Artistiaid</t>
  </si>
  <si>
    <t>Faint o'r artistiaid a hyfforddwyd neu sy'n ymarfer yng Nghymru ar hyn o bryd</t>
  </si>
  <si>
    <t>Nifer yr Artistiaid a hyfforddwyd neu sy'n ymarfer yng Nghymru</t>
  </si>
  <si>
    <t>Teithio eich Arddangosfa Eich Hun</t>
  </si>
  <si>
    <t>Lleoliadau Eraill Ym Mhrydain, ac eithrio Cymru</t>
  </si>
  <si>
    <t>Nifer yr Arddangosfeydd sydd wedi'u lleoli mewn safleoedd eraill ar wahân i'r prif leoliad (celf yn y gymuned)</t>
  </si>
  <si>
    <t>Arddangosfeydd celfyddyd yn y gymuned</t>
  </si>
  <si>
    <t>Nifer yr Arddangosfeydd sy'n canolbwyntio ar Artistiaid Cymunedol</t>
  </si>
  <si>
    <t>Iaith cyhoeddiadau sy'n ymwneud ag arddangosfeydd</t>
  </si>
  <si>
    <t>Arddangosfeydd wedi'u curadu gan artistiaid o unrhyw un o'r grwpiau hyn:</t>
  </si>
  <si>
    <t>Pobl dduon, Asiaidd ac o leiafrifoedd ethnig</t>
  </si>
  <si>
    <t>Lesbiaid, Hoywon a Deurywolion</t>
  </si>
  <si>
    <t>Pobl Hŷn (50+)</t>
  </si>
  <si>
    <t>Mamau beichiog a mamau newydd</t>
  </si>
  <si>
    <t>Pobl â Chredoau a Chrefyddau Penodol</t>
  </si>
  <si>
    <t>Pobl drawsryweddol</t>
  </si>
  <si>
    <t>Arddangosfeydd sy’n targedu pobl o unrhyw un o'r grwpiau hyn:</t>
  </si>
  <si>
    <t>Targed neu aneliad arddangosfeydd:</t>
  </si>
  <si>
    <t>Celfyddydau ac Iechyd</t>
  </si>
  <si>
    <t>Digartrefedd</t>
  </si>
  <si>
    <t>Teuluoedd incwm isel</t>
  </si>
  <si>
    <t>Ffoaduriaid a/neu geiswyr lloches</t>
  </si>
  <si>
    <t>Cymunedau Sipsiwn, Roma a Theithwyr</t>
  </si>
  <si>
    <t xml:space="preserve">Pobl ifanc nad ydynt mewn addysg, cyflogaeth na hyfforddiant </t>
  </si>
  <si>
    <t>Sesiynau digidol byw</t>
  </si>
  <si>
    <t>Mynychu sesiynau digidol byw</t>
  </si>
  <si>
    <t>Sesiynau digidol a recordiwyd ymlaen llaw</t>
  </si>
  <si>
    <t>Mynychu sesiynau digidol a recordiwyd ymlaen llaw</t>
  </si>
  <si>
    <t>Sesiynau Wyneb yn Wyneb</t>
  </si>
  <si>
    <t>Mynychu sesiynau wyneb yn wyneb</t>
  </si>
  <si>
    <t>Sesiynau prosiect ffôn</t>
  </si>
  <si>
    <t>Mynychu prosiect ffôn</t>
  </si>
  <si>
    <t>Sesiynau prosiect post</t>
  </si>
  <si>
    <t>Mynychu prosiect post</t>
  </si>
  <si>
    <t>Gweithgarwch cyfranogol mewn Ysgol neu Leoliad Addysg</t>
  </si>
  <si>
    <t>Saesneg: Sesiynau</t>
  </si>
  <si>
    <t>Saesneg: Mynychu</t>
  </si>
  <si>
    <t>Cymraeg: Sesiynau</t>
  </si>
  <si>
    <t>Cymraeg: Mynychu</t>
  </si>
  <si>
    <t>Arall: Sesiynau</t>
  </si>
  <si>
    <t>Arall: Mynychu</t>
  </si>
  <si>
    <t>Dwyieithog: Sesiynau</t>
  </si>
  <si>
    <t>Dwyieithog: Mynychu</t>
  </si>
  <si>
    <t>Amlieithog: Sesiynau</t>
  </si>
  <si>
    <t>Amlieithog: Mynychu</t>
  </si>
  <si>
    <t>Cynhyrchu Ffilmiau</t>
  </si>
  <si>
    <t>Nifer y prosiectau a gynhaliwyd:</t>
  </si>
  <si>
    <t>Yn ystod Oriau Ysgol</t>
  </si>
  <si>
    <t>Y tu allan i Oriau Ysgol</t>
  </si>
  <si>
    <t>Yn ystod a’r tu allan i oriau ysgol</t>
  </si>
  <si>
    <t>Gweithgarwch cyfranogol y tu allan i leoliad yr ysgol</t>
  </si>
  <si>
    <t>Ystod Oedran wedi'u Targedu gan weithgarwch cyfranogol y tu mewn a'r tu allan i’r ysgol</t>
  </si>
  <si>
    <t xml:space="preserve">Theatr Ieuenctid/Cerddoriaeth/Dawns/Perfformiad a drefnwyd yn rheolaidd Gweithgarwch cyfranogol gyda Phlant a Phobl Ifanc </t>
  </si>
  <si>
    <t>Nifer:</t>
  </si>
  <si>
    <t>Perfformiadau sy'n gysylltiedig â sesiynau cyfranogol ieuenctid rheolaidd</t>
  </si>
  <si>
    <t>Mynychu perfformiadau sy'n gysylltiedig â sesiynau cyfranogol ieuenctid rheolaidd</t>
  </si>
  <si>
    <t>Nifer y Prosiectau sy’n targedu:</t>
  </si>
  <si>
    <t>Niferoedd y Prosiectau sy'n targedu:</t>
  </si>
  <si>
    <t>Gweithgarwch Cyfranogol</t>
  </si>
  <si>
    <t>N/A</t>
  </si>
  <si>
    <t>Targed neu aneliad prosiectau:</t>
  </si>
  <si>
    <t>Faint o berfformiadau amatur a ddeilliodd o weithgarwch cyfranogol cyffredinol</t>
  </si>
  <si>
    <t>Faint o ffilmiau amatur a grëwyd ac a sgriniwyd o weithgarwch cyfranogol cyffredinol</t>
  </si>
  <si>
    <t>Teithio</t>
  </si>
  <si>
    <t>Perfformiadau digidol byw</t>
  </si>
  <si>
    <t>Mynychu perfformiadau digidol byw</t>
  </si>
  <si>
    <t>Perfformiadau digidol a recordiwyd ymlaen llaw</t>
  </si>
  <si>
    <t>Mynychu perfformiadau digidol a recordiwyd ymlaen llaw</t>
  </si>
  <si>
    <t>Perfformiadau byw</t>
  </si>
  <si>
    <t>Mynychu perfformiadau byw</t>
  </si>
  <si>
    <t>Nifer y cynyrchiadau sy'n cael eu perfformiad cyntaf</t>
  </si>
  <si>
    <t>Cyfanswm y perfformiad cyntaf</t>
  </si>
  <si>
    <t>Nifer y Cynyrchiadau yn benodol ar gyfer ysgolion</t>
  </si>
  <si>
    <t>Cynhyrchu sy'n benodol i'r ysgol</t>
  </si>
  <si>
    <t>Nifer y Cydgynyrchiadau</t>
  </si>
  <si>
    <t>Cydgynyrchiadau</t>
  </si>
  <si>
    <t>Nifer y cynyrchiadau a arweiniwyd gan artistiaid sy’n:</t>
  </si>
  <si>
    <t>Nifer y cynyrchiadau sy’n targedu:</t>
  </si>
  <si>
    <t>Perfformiadau yng Nghymru</t>
  </si>
  <si>
    <t>Nifer y Perfformiadau Saesneg</t>
  </si>
  <si>
    <t>Nifer mynychu perfformiadau Saesneg</t>
  </si>
  <si>
    <t>Nifer y Perfformiadau Cymraeg</t>
  </si>
  <si>
    <t>Nifer mynychu perfformiadau Cymraeg</t>
  </si>
  <si>
    <t>Nifer y Perfformiadau mewn iaith arall</t>
  </si>
  <si>
    <t>Nifer mynychu perfformiadau mewn iaith arall</t>
  </si>
  <si>
    <t>Nifer y Perfformiadau Dwyieithog</t>
  </si>
  <si>
    <t>Nifer mynychu perfformiadau dwyieithog</t>
  </si>
  <si>
    <t>Nifer y Perfformiadau amlieithog</t>
  </si>
  <si>
    <t>Nifer mynychu perfformiadau amlieithog</t>
  </si>
  <si>
    <t>Nifer y perfformiadau lle nad yw iaith yn berthnasol</t>
  </si>
  <si>
    <t>Nifer mynychu perfformiadau lle nad yw iaith yn berthnasol</t>
  </si>
  <si>
    <t>Perfformiadau yn Lloegr</t>
  </si>
  <si>
    <t>Perfformiadau yn yr Alban</t>
  </si>
  <si>
    <t>Perfformiadau yng Ngogledd Iwerddon</t>
  </si>
  <si>
    <t>Perfformiadau y tu allan i Brydain</t>
  </si>
  <si>
    <t>Lleoliadau Cynhyrchu</t>
  </si>
  <si>
    <t>Nifer y perfformiadau Saesneg yn y lleoliad cartref</t>
  </si>
  <si>
    <t>Nifer mynychu perfformiadau Saesneg yn y lleoliad cartref</t>
  </si>
  <si>
    <t>Nifer y perfformiadau Cymraeg yn y lleoliad cartref</t>
  </si>
  <si>
    <t>Nifer mynychu perfformiadau Cymraeg yn y lleoliad cartref</t>
  </si>
  <si>
    <t>Nifer y perfformiadau mewn iaith arall yn y lleoliad cartref</t>
  </si>
  <si>
    <t>Nifer mynychu perfformiadau mewn iaith arall yn y lleoliad cartref</t>
  </si>
  <si>
    <t>Nifer y perfformiadau dwyieithog yn y lleoliad cartref</t>
  </si>
  <si>
    <t>Nifer mynychu perfformiadau dwyieithog yn y lleoliad cartref</t>
  </si>
  <si>
    <t>Nifer y perfformiadau amlieithog yn y lleoliad cartref</t>
  </si>
  <si>
    <t>Nifer mynychu perfformiadau amlieithog yn y lleoliad cartref</t>
  </si>
  <si>
    <t>Nifer y perfformiadau lle nad yw iaith yn berthnasol yn y lleoliad cartref</t>
  </si>
  <si>
    <t>Nifer mynychu lle nad yw iaith yn berthnasol yn y lleoliad cartref</t>
  </si>
  <si>
    <t>Nifer y cynyrchiadau a ddefnyddiodd:</t>
  </si>
  <si>
    <t>Arwyddeg</t>
  </si>
  <si>
    <t>Disgrifiad Sain</t>
  </si>
  <si>
    <t xml:space="preserve">Uwchdeitlau </t>
  </si>
  <si>
    <t>Rhif</t>
  </si>
  <si>
    <t>Comisiynau Newydd gydag artistiaid sy'n:</t>
  </si>
  <si>
    <t>Cyhoeddi sgriptiau newydd (teitlau nid faint o gopïau a argraffwyd) i gyd-fynd â chomisiynau newydd</t>
  </si>
  <si>
    <t>Nifer y Teitlau:</t>
  </si>
  <si>
    <t>Cyfanswm Teitlau Ffilm</t>
  </si>
  <si>
    <t>Cyfanswm y canlynol:</t>
  </si>
  <si>
    <t>Dangosiadau ffilm Saesneg</t>
  </si>
  <si>
    <t>Mynychu sgrinio ffilm Saesneg</t>
  </si>
  <si>
    <t>Dangosiadau ffilm Cymraeg</t>
  </si>
  <si>
    <t>Mynychu sgrinio ffilm Cymraeg</t>
  </si>
  <si>
    <t>Dangosiadau ffilm mewn iaith arall</t>
  </si>
  <si>
    <t>Mynychu sgrinio ffilm mewn iaith arall</t>
  </si>
  <si>
    <t>Dangosiadau ffilm ddwyieithog</t>
  </si>
  <si>
    <t>Mynychu sgrinio ffilm ddwyieithog</t>
  </si>
  <si>
    <t>Dangosiadau ffilm amlieithog</t>
  </si>
  <si>
    <t>Mynychu sgrinio ffilm amlieithog</t>
  </si>
  <si>
    <t>Sgrinio ffilm lle nad yw iaith yn berthnasol</t>
  </si>
  <si>
    <t>Mynychu ffilm lle nad yw iaith yn berthnasol</t>
  </si>
  <si>
    <t>Nifer y teitlau Ffilm a ddefnyddiodd:</t>
  </si>
  <si>
    <t>Teitlau Ffilm sy’n targedu:</t>
  </si>
  <si>
    <t>Teitlau Ffilm sy’n targedu :</t>
  </si>
  <si>
    <t>Darlledu Ar-lein</t>
  </si>
  <si>
    <t>Nifer y Darllediadau ar Deledu Rhwydwaith:</t>
  </si>
  <si>
    <t>Yng Nghymru: Saesneg</t>
  </si>
  <si>
    <t>Yng Nghymru: Cymraeg</t>
  </si>
  <si>
    <t>Yng Nghymru: Arall</t>
  </si>
  <si>
    <t>Yng Nghymru: Dwyieithog</t>
  </si>
  <si>
    <t>Yng Nghymru: Amlieithog</t>
  </si>
  <si>
    <t>Yng Nghymru: Iaith amherthnasol</t>
  </si>
  <si>
    <t>Ym Mhrydain (ac eithrio Cymru): Saesneg</t>
  </si>
  <si>
    <t>Ym Mhrydain (ac eithrio Cymru): Cymraeg</t>
  </si>
  <si>
    <t>Ym Mhrydain (ac eithrio Cymru): Arall</t>
  </si>
  <si>
    <t>Ym Mhrydain (ac eithrio Cymru): Dwyieithog</t>
  </si>
  <si>
    <t>Ym Mhrydain (ac eithrio Cymru): Amlieithog</t>
  </si>
  <si>
    <t>Ym Mhrydain (ac eithrio Cymru): Iaith amherthnasol</t>
  </si>
  <si>
    <t>Rhyngwladol: Saesneg</t>
  </si>
  <si>
    <t>Rhyngwladol: Cymraeg</t>
  </si>
  <si>
    <t>Rhyngwladol: Arall</t>
  </si>
  <si>
    <t>Rhyngwladol: Dwyieithog</t>
  </si>
  <si>
    <t>Rhyngwladol: Amlieithog</t>
  </si>
  <si>
    <t>Rhyngwladol: Iaith amherthnasol</t>
  </si>
  <si>
    <t>Nifer y Darllediadau ar Radio Rhwydwaith:</t>
  </si>
  <si>
    <t>Ffrydio:</t>
  </si>
  <si>
    <t>Llwyfan Trydydd Parti (er enghraifft, iplayer): Saesneg</t>
  </si>
  <si>
    <t>Llwyfan Trydydd Parti (er enghraifft, iplayer): Cymraeg</t>
  </si>
  <si>
    <t>Llwyfan Trydydd Parti (er enghraifft, iplayer): Arall</t>
  </si>
  <si>
    <t>Llwyfan Trydydd Parti (er enghraifft, iplayer): Dwyieithog</t>
  </si>
  <si>
    <t>Platfform Trydydd Parti (er enghraifft, iplayer): Amlieithog</t>
  </si>
  <si>
    <t>Llwyfan Trydydd Parti (er enghraifft, iplayer): Iaith amherthnasol</t>
  </si>
  <si>
    <t>A yw eich sefydliad wedi cael ei gyfweld am eich gwaith?</t>
  </si>
  <si>
    <t>Nifer y cyfweliadau teledu</t>
  </si>
  <si>
    <t>Nifer y cyfweliadau radio</t>
  </si>
  <si>
    <t>Nifer y cyfweliadau ar-lein</t>
  </si>
  <si>
    <t>Darllediadau sy’n targedu:</t>
  </si>
  <si>
    <t>Darllediadau sy’n targedu :</t>
  </si>
  <si>
    <t xml:space="preserve">Nifer yr ymweliadau: </t>
  </si>
  <si>
    <t>i'ch prif wefan yn y chwe mis diwethaf</t>
  </si>
  <si>
    <t>gan ymwelwyr unigryw</t>
  </si>
  <si>
    <t>Nodweddion eich prif wefan:</t>
  </si>
  <si>
    <t>Cyfleuster adborth cwsmeriaid/cynulleidfaoedd</t>
  </si>
  <si>
    <t>Cynnwys Fideo</t>
  </si>
  <si>
    <t>Gêm/rhyngweithiol</t>
  </si>
  <si>
    <t>Rhaglen/Canllawiau</t>
  </si>
  <si>
    <t>Gwerthiannau cynnyrch neu wasanaeth</t>
  </si>
  <si>
    <t>Cymorth ar gyfer hygyrchedd i bobl anabl</t>
  </si>
  <si>
    <t>Prif ddiben ymweliadau â'ch gwefan fel canran o gyfanswm yr ymweliadau:</t>
  </si>
  <si>
    <t>Defnyddir data cynulleidfa neu ymwelwyr a gasglwch ar-lein er mwyn:</t>
  </si>
  <si>
    <t>Gwella'r wefan</t>
  </si>
  <si>
    <t>Datblygu eich strategaeth ar-lein</t>
  </si>
  <si>
    <t>Personoli ymgyrchoedd marchnata, gwerthu neu godi arian ar gyfer gwahanol fathau o ddefnyddwyr</t>
  </si>
  <si>
    <t>Datblygu effeithiolrwydd eich marchnata</t>
  </si>
  <si>
    <t>Gwella effeithiolrwydd eich gweithgarwch datblygu</t>
  </si>
  <si>
    <t>Llywio datblygiad gweithiau celf creadigol, digwyddiadau neu arddangosfeydd</t>
  </si>
  <si>
    <t xml:space="preserve">Llywio'r gwaith o ddatblygu cynhyrchion neu wasanaethau masnachol newydd </t>
  </si>
  <si>
    <t xml:space="preserve">Nodwch y rhwydweithiau/gwefannau cymdeithasol lle mae gan eich sefydliad broffil gweithredol rheolaidd arnynt a sut rydych chi’n eu defnyddio </t>
  </si>
  <si>
    <t xml:space="preserve">Gweplyfr - Rhwydwaith: Adeiladu cynulleidfaoedd a chyfathrebu </t>
  </si>
  <si>
    <t>Gweplyfr - Llwyfan: cynnal cynnwys creadigol</t>
  </si>
  <si>
    <t>Gweplyfr - Arall</t>
  </si>
  <si>
    <t xml:space="preserve">Trydar - Rhwydwaith: Adeiladu cynulleidfaoedd a chyfathrebu </t>
  </si>
  <si>
    <t>Trydar - Llwyfan: cynnal cynnwys creadigol</t>
  </si>
  <si>
    <t>Trydar - Arall</t>
  </si>
  <si>
    <t xml:space="preserve">Instagram - Rhwydwaith: Adeiladu cynulleidfaoedd a chyfathrebu </t>
  </si>
  <si>
    <t>Instagram - Llwyfan: cynnal cynnwys creadigol</t>
  </si>
  <si>
    <t>Instagram - Arall</t>
  </si>
  <si>
    <t xml:space="preserve">Snapchat - Rhwydwaith: Adeiladu a chyfathrebu cynulleidfaoedd </t>
  </si>
  <si>
    <t>Snapchat - Llwyfan: cynnal cynnwys creadigol</t>
  </si>
  <si>
    <t>Snapchat - Arall</t>
  </si>
  <si>
    <t xml:space="preserve">YouTube - Rhwydwaith: Adeiladu cynulleidfaoedd a chyfathrebu </t>
  </si>
  <si>
    <t>YouTube - Llwyfan: cynnal cynnwys creadigol</t>
  </si>
  <si>
    <t>YouTube - Arall</t>
  </si>
  <si>
    <t xml:space="preserve">Fimeo - Rhwydwaith: Adeiladu cynulleidfaoedd a chyfathrebu </t>
  </si>
  <si>
    <t>Fimeo - Llwyfan: cynnal cynnwys creadigol</t>
  </si>
  <si>
    <t>Fimeo - Arall</t>
  </si>
  <si>
    <t xml:space="preserve">Spotify - Rhwydwaith: Adeiladu cynulleidfaoedd a chyfathrebu </t>
  </si>
  <si>
    <t>Spotify - Llwyfan: cynnal cynnwys creadigol</t>
  </si>
  <si>
    <t>Spotify - Arall</t>
  </si>
  <si>
    <t xml:space="preserve">Arall - Rhwydwaith: Adeiladu cynulleidfaoedd a chyfathrebu </t>
  </si>
  <si>
    <t>Arall - Llwyfan: cynnal cynnwys creadigol</t>
  </si>
  <si>
    <t>Arall - Arall</t>
  </si>
  <si>
    <t>Uwchlwytho Fideo:</t>
  </si>
  <si>
    <t>Nifer y cynnwys newydd a uwchlwythwyd ar lwyfannau cynnal fideo yn y 6 mis diwethaf:</t>
  </si>
  <si>
    <t>Cyfanswm y ffigyrau gwylio cynnwys newydd yn y 6 mis diwethaf:</t>
  </si>
  <si>
    <t>Cyfanswm y ffigyrau gwylio pob cynnwys yn y 6 mis diwethaf:</t>
  </si>
  <si>
    <t>Cynyrchiadau Dawns</t>
  </si>
  <si>
    <t>Nifer y Perfformiadau Proffesiynol</t>
  </si>
  <si>
    <t>Mynychu Perfformiadau Proffesiynol</t>
  </si>
  <si>
    <t>Cynyrchiadau Amatur</t>
  </si>
  <si>
    <t>Nifer y Perfformiadau Amatur</t>
  </si>
  <si>
    <t>Mynychu Perfformiadau Amatur</t>
  </si>
  <si>
    <t>Cynyrchiadau Drama:</t>
  </si>
  <si>
    <t>Cynyrchiadau Proffesiynol: Saesneg</t>
  </si>
  <si>
    <t>Nifer y Perfformiadau Proffesiynol: Saesneg</t>
  </si>
  <si>
    <t>Mynychu Perfformiadau Proffesiynol: Saesneg</t>
  </si>
  <si>
    <t>Cynyrchiadau Proffesiynol: Cymraeg</t>
  </si>
  <si>
    <t>Nifer y Perfformiadau Proffesiynol: Cymraeg</t>
  </si>
  <si>
    <t>Mynychu Perfformiadau Proffesiynol: Cymraeg</t>
  </si>
  <si>
    <t>Cynyrchiadau Proffesiynol: Arall</t>
  </si>
  <si>
    <t>Nifer y Perfformiadau Proffesiynol: Arall</t>
  </si>
  <si>
    <t>Mynychu Perfformiadau Proffesiynol: Arall</t>
  </si>
  <si>
    <t>Cynyrchiadau Proffesiynol: Dwyieithog</t>
  </si>
  <si>
    <t>Nifer y Perfformiadau Proffesiynol: Dwyieithog</t>
  </si>
  <si>
    <t>Mynychu Perfformiadau Proffesiynol: Dwyieithog</t>
  </si>
  <si>
    <t>Cynyrchiadau Proffesiynol: Amlieithog</t>
  </si>
  <si>
    <t>Nifer y Perfformiadau Proffesiynol: Amlieithog</t>
  </si>
  <si>
    <t>Mynychu Perfformiadau Proffesiynol: Amlieithog</t>
  </si>
  <si>
    <t>Cynyrchiadau Proffesiynol: Iaith amherthnasol</t>
  </si>
  <si>
    <t>Nifer y Perfformiadau Proffesiynol: Iaith amherthnasol</t>
  </si>
  <si>
    <t>Mynychu Perfformiadau Proffesiynol: Iaith amherthnasol</t>
  </si>
  <si>
    <t>Cynyrchiadau Amatur: Saesneg</t>
  </si>
  <si>
    <t>Nifer y Perfformiadau Amatur: Saesneg</t>
  </si>
  <si>
    <t>Mynychu Perfformiadau Amatur: Saesneg</t>
  </si>
  <si>
    <t>Cynyrchiadau Amatur: Cymraeg</t>
  </si>
  <si>
    <t>Nifer y Perfformiadau Amatur: Cymraeg</t>
  </si>
  <si>
    <t>Mynychu Perfformiadau Amatur: Cymraeg</t>
  </si>
  <si>
    <t>Cynyrchiadau Amatur: Arall</t>
  </si>
  <si>
    <t>Nifer y Perfformiadau Amatur: Arall</t>
  </si>
  <si>
    <t>Mynychu Perfformiadau Amatur: Arall</t>
  </si>
  <si>
    <t>Cynyrchiadau Amatur: Dwyieithog</t>
  </si>
  <si>
    <t>Nifer y Perfformiadau Amatur: Dwyieithog</t>
  </si>
  <si>
    <t>Mynychu Perfformiadau Amatur: Dwyieithog</t>
  </si>
  <si>
    <t>Cynyrchiadau Amatur: Amlieithog</t>
  </si>
  <si>
    <t>Nifer y Perfformiadau Amatur: Amlieithog</t>
  </si>
  <si>
    <t>Mynychu Perfformiadau Amatur: Amlieithog</t>
  </si>
  <si>
    <t>Cynyrchiadau Amatur: Iaith amherthnasol</t>
  </si>
  <si>
    <t>Nifer y Perfformiadau Amatur: Iaith amherthnasol</t>
  </si>
  <si>
    <t>Mynychu Perfformiadau Amatur: Iaith amherthnasol</t>
  </si>
  <si>
    <t>Cynyrchiadau Amlddisgyblaethol:</t>
  </si>
  <si>
    <t>Cynyrchiadau Cerddorol:</t>
  </si>
  <si>
    <t>Cynyrchiadau Opera:</t>
  </si>
  <si>
    <t>Cynyrchiadau Adloniant Theatr:</t>
  </si>
  <si>
    <t>Cynyrchiadau Llenyddol:</t>
  </si>
  <si>
    <t>Cynyrchiadau Eraill:</t>
  </si>
  <si>
    <t>Cynyrchiadau a lwyfannwyd gan gwmnïau o'r tu allan i Brydain</t>
  </si>
  <si>
    <t>Nifer y cynyrchiadau proffesiynol a lwyfannwyd gan gwmnïau o'r tu allan i Brydain: Saesneg</t>
  </si>
  <si>
    <t>Nifer y perfformiadau o gynyrchiadau proffesiynol a lwyfannwyd gan gwmnïau o'r tu allan i Brydain: Saesneg</t>
  </si>
  <si>
    <t>Nifer mynychu perfformiadau o gynyrchiadau proffesiynol a lwyfannwyd gan gwmnïau o'r tu allan i Brydain: Saesneg</t>
  </si>
  <si>
    <t>Nifer y cynyrchiadau proffesiynol a lwyfannwyd gan gwmnïau o'r tu allan i Brydain: Cymraeg</t>
  </si>
  <si>
    <t>Nifer y perfformiadau o gynyrchiadau proffesiynol a lwyfannwyd gan gwmnïau o'r tu allan i Brydain: Cymraeg</t>
  </si>
  <si>
    <t>Nifer mynychu perfformiadau o gynyrchiadau proffesiynol a lwyfannwyd gan gwmnïau o'r tu allan i Brydain: Cymraeg</t>
  </si>
  <si>
    <t>Nifer y cynyrchiadau proffesiynol a lwyfannwyd gan gwmnïau o'r tu allan i Brydain: Arall</t>
  </si>
  <si>
    <t>Nifer y perfformiadau o gynyrchiadau proffesiynol a lwyfannwyd gan gwmnïau o'r tu allan i Brydain: Arall</t>
  </si>
  <si>
    <t>Nifer mynychu perfformiadau o gynyrchiadau proffesiynol a lwyfannwyd gan gwmnïau o'r tu allan i Brydain: Arall</t>
  </si>
  <si>
    <t>Nifer y cynyrchiadau proffesiynol a lwyfannwyd gan gwmnïau o'r tu allan i Brydain: Dwyieithog</t>
  </si>
  <si>
    <t>Nifer y perfformiadau o gynyrchiadau proffesiynol a lwyfannwyd gan gwmnïau o'r tu allan i Brydain: Dwyieithog</t>
  </si>
  <si>
    <t>Nifer mynychu perfformiadau o gynyrchiadau proffesiynol a lwyfannwyd gan gwmnïau o'r tu allan i Brydain: Dwyieithog</t>
  </si>
  <si>
    <t>Nifer y cynyrchiadau proffesiynol a lwyfannwyd gan gwmnïau o'r tu allan i Brydain: Amlieithog</t>
  </si>
  <si>
    <t>Nifer y perfformiadau o gynyrchiadau proffesiynol a lwyfannwyd gan gwmnïau o'r tu allan i Brydain: Amlieithog</t>
  </si>
  <si>
    <t>Nifer mynychu perfformiadau o gynyrchiadau proffesiynol a lwyfannwyd gan gwmnïau o'r tu allan i Brydain: Amlieithog</t>
  </si>
  <si>
    <t>Nifer y cynyrchiadau proffesiynol a lwyfannwyd gan gwmnïau o'r tu allan i Brydain: Iaith amherthnasol</t>
  </si>
  <si>
    <t>Nifer y perfformiadau o gynyrchiadau proffesiynol a lwyfannwyd gan gwmnïau o'r tu allan i Brydain: Iaith amherthnasol</t>
  </si>
  <si>
    <t>Nifer mynychu perfformiadau o gynyrchiadau proffesiynol a lwyfannwyd gan gwmnïau o'r tu allan i Brydain: Iaith amherthnasol</t>
  </si>
  <si>
    <t>Nifer y cynyrchiadau a dargedodd:</t>
  </si>
  <si>
    <t>Sesiynau wyneb yn wyneb</t>
  </si>
  <si>
    <t>Hyfforddiant/Gweithdai: Saesneg</t>
  </si>
  <si>
    <t>Sesiynau o Hyfforddiant/Gweithdy: Saesneg</t>
  </si>
  <si>
    <t>Cyfranogwyr o’r Hyfforddiant/Gweithdy: Saesneg</t>
  </si>
  <si>
    <t>Hyfforddiant/Gweithdai: Cymraeg</t>
  </si>
  <si>
    <t>Sesiynau o Hyfforddiant/Gweithdy: Cymraeg</t>
  </si>
  <si>
    <t>Cyfranogwyr o’r Hyfforddiant/Gweithdy: Cymraeg</t>
  </si>
  <si>
    <t>Hyfforddiant/Gweithdai: Arall</t>
  </si>
  <si>
    <t>Sesiynau o Hyfforddiant/Gweithdy: Arall</t>
  </si>
  <si>
    <t>Cyfranogwyr o’r Hyfforddiant/Gweithdy: Arall</t>
  </si>
  <si>
    <t>Hyfforddiant/Gweithdai: Dwyieithog</t>
  </si>
  <si>
    <t>Sesiynau o Hyfforddiant/Gweithdy: Dwyieithog</t>
  </si>
  <si>
    <t>Cyfranogwyr o’r Hyfforddiant/Gweithdy: Dwyieithog</t>
  </si>
  <si>
    <t>Hyfforddiant/Gweithdai: Amlieithog</t>
  </si>
  <si>
    <t>Sesiynau o Hyfforddiant/Gweithdy: Amlieithog</t>
  </si>
  <si>
    <t>Cyfranogwyr o’r Hyfforddiant/Gweithdy: Amlieithog</t>
  </si>
  <si>
    <t>Digwyddiadau: Saesneg</t>
  </si>
  <si>
    <t>Sesiynau Digwyddiad: Saesneg</t>
  </si>
  <si>
    <t>Cyfranogwyr o’r Digwyddiad: Saesneg</t>
  </si>
  <si>
    <t>Digwyddiadau: Cymraeg</t>
  </si>
  <si>
    <t>Sesiynau Digwyddiadau: Cymraeg</t>
  </si>
  <si>
    <t>Cyfranogwyr o’r Digwyddiad: Cymraeg</t>
  </si>
  <si>
    <t>Digwyddiadau: Arall</t>
  </si>
  <si>
    <t>Sesiynau Digwyddiad: Arall</t>
  </si>
  <si>
    <t>Cyfranogwyr o’r Digwyddiad: Arall</t>
  </si>
  <si>
    <t>Digwyddiadau: Dwyieithog</t>
  </si>
  <si>
    <t>Sesiynau Digwyddiad: Dwyieithog</t>
  </si>
  <si>
    <t>Cyfranogwyr o’r Digwyddiad: Dwyieithog</t>
  </si>
  <si>
    <t>Digwyddiadau: Amlieithog</t>
  </si>
  <si>
    <t>Sesiynau Digwyddiad: Amlieithog</t>
  </si>
  <si>
    <t>Cyfranogwyr o’r Digwyddiad: Amlieithog</t>
  </si>
  <si>
    <t>Nifer y sesiynau o Hyfforddiant/Gweithdai neu Ddigwyddiadau sy’n targedu:</t>
  </si>
  <si>
    <t>DPP Athrawon Celf: nifer y sesiynau o   Hyfforddiant/Gweithdai a Digwyddiadau sy’n targedu Athrawon Celf</t>
  </si>
  <si>
    <t>Preswylfeydd Tenantiaid ac Artistiaid</t>
  </si>
  <si>
    <t>Cyfanswm y Tenantiaid</t>
  </si>
  <si>
    <t>Cyfanswm y bobl a gyflogir mewn sefydliadau tenantiaid</t>
  </si>
  <si>
    <t>Nifer yr oriau o gyngor neu gymorth a roddir i denantiaid</t>
  </si>
  <si>
    <t>Preswylfeydd Artist</t>
  </si>
  <si>
    <t>Nifer y preswylfeydd a gontractiwyd yn y chwe mis diwethaf</t>
  </si>
  <si>
    <t>Cyfanswm y preswylfeydd ar waith yn y chwe mis diwethaf</t>
  </si>
  <si>
    <t>Nifer y preswylfeydd a orffennwyd yn y chwe mis diwethaf</t>
  </si>
  <si>
    <t>Artistiaid Newydd</t>
  </si>
  <si>
    <t>Nifer yr artistiaid newydd y bu'n gweithio gyda nhw yn y chwe mis diwethaf</t>
  </si>
  <si>
    <t>Sgyrsiau digidol byw neu sesiynau holi ac ateb</t>
  </si>
  <si>
    <t>Mynychu sgyrsiau digidol byw neu sesiynau holi ac ateb</t>
  </si>
  <si>
    <t>Sesiynau siarad digidol neu holi ac ateb a recordiwyd ymlaen llaw</t>
  </si>
  <si>
    <t>Mynychu sgyrsiau digidol neu sesiynau holi ac ateb a recordiwyd ymlaen llaw</t>
  </si>
  <si>
    <t>Sgyrsiau byw neu sesiynau holi ac ateb</t>
  </si>
  <si>
    <t>Mynychu sgyrsiau byw neu sesiynau holi ac ateb</t>
  </si>
  <si>
    <t>Sgyrsiau: Saesneg</t>
  </si>
  <si>
    <t>Mynychu Sgyrsiau: Saesneg</t>
  </si>
  <si>
    <t>Sgyrsiau: Cymraeg</t>
  </si>
  <si>
    <t>Mynychu Sgyrsiau: Cymraeg</t>
  </si>
  <si>
    <t>Sgyrsiau: Arall</t>
  </si>
  <si>
    <t>Mynychu Sgyrsiau: Arall</t>
  </si>
  <si>
    <t>Sgyrsiau: Dwyieithog</t>
  </si>
  <si>
    <t>Mynychu Sgyrsiau: Dwyieithog</t>
  </si>
  <si>
    <t>Sgyrsiau: Amlieithog</t>
  </si>
  <si>
    <t>Mynychu Sgyrsiau: Amlieithog</t>
  </si>
  <si>
    <t>Sesiynau Holi ac Ateb: Saesneg</t>
  </si>
  <si>
    <t>Mynychu Sesiynau Holi ac Ateb: Saesneg</t>
  </si>
  <si>
    <t>Sesiynau Holi ac Ateb: Cymraeg</t>
  </si>
  <si>
    <t>Mynychu Sesiynau Holi ac Ateb: Cymraeg</t>
  </si>
  <si>
    <t>Sesiynau Holi ac Ateb: Arall</t>
  </si>
  <si>
    <t>Mynychu Sesiynau Holi ac Ateb: Arall</t>
  </si>
  <si>
    <t>Sesiynau Holi ac Ateb: Dwyieithog</t>
  </si>
  <si>
    <t>Mynychu Sesiynau Holi ac Ateb: Dwyieithog</t>
  </si>
  <si>
    <t>Sesiynau Holi ac Ateb: Amlieithog</t>
  </si>
  <si>
    <t>Mynychu Sesiynau Holi ac Ateb: Amlieithog</t>
  </si>
  <si>
    <t>System Monitro Amgylcheddol</t>
  </si>
  <si>
    <t>Y Ddraig Werdd</t>
  </si>
  <si>
    <t>Sefydliadau sydd â:</t>
  </si>
  <si>
    <t>Polisi monitro amgylcheddol</t>
  </si>
  <si>
    <t>Sylwadau</t>
  </si>
  <si>
    <t>Gweplyfr - Dilynwyr</t>
  </si>
  <si>
    <t>Trydar - Dilynwyr</t>
  </si>
  <si>
    <t>Instagram - Dilynwyr</t>
  </si>
  <si>
    <t>Snapchat - Dilynwyr</t>
  </si>
  <si>
    <t>Rhowch ystadegau ymgysylltu Snapchat</t>
  </si>
  <si>
    <t xml:space="preserve">TikTok - Rhwydwaith: Adeiladu cynulleidfaoedd a chyfathrebu </t>
  </si>
  <si>
    <t>TikTok - Llwyfan: cynnal cynnwys creadigol</t>
  </si>
  <si>
    <t>TikTok - Dilynwyr</t>
  </si>
  <si>
    <t>Rhowch eich ystadegau cyrhaeddiad ar gyfer TikTok</t>
  </si>
  <si>
    <t>Rhowch ystadegau ymgysylltu TikTok</t>
  </si>
  <si>
    <t>TikTok - Arall</t>
  </si>
  <si>
    <t>Rhowch eich ystadegau cyrhaeddiad ar gyfer Youtube</t>
  </si>
  <si>
    <t>Youtube - Tanysgrifwyr</t>
  </si>
  <si>
    <t>Rhowch ystadegau ymgysylltu Youtube</t>
  </si>
  <si>
    <t>Fimeo - Tanysgrifwyr</t>
  </si>
  <si>
    <t>Rhowch eich ystadegau cyrhaeddiad ar gyfer Fimeo</t>
  </si>
  <si>
    <t>Rhowch ystadegau ymgysylltu Fimeo</t>
  </si>
  <si>
    <t>Soundcloud - Llwyfan: cynnal cynnwys creadigol</t>
  </si>
  <si>
    <t>Soundcloud - Arall</t>
  </si>
  <si>
    <t xml:space="preserve">Soundcloudh - Rhwydwaith: Adeiladu cynulleidfaoedd a chyfathrebu </t>
  </si>
  <si>
    <t>Soundcloud - Dilynwyr</t>
  </si>
  <si>
    <t>Rhowch eich ystadegau cyrhaeddiad ar gyfer Soundcloud</t>
  </si>
  <si>
    <t>Rhowch ystadegau ymgysylltu Soundcloud</t>
  </si>
  <si>
    <t>Spotify - Gwrandawyr/eraill</t>
  </si>
  <si>
    <t>Rhowch eich ystadegau cyrhaeddiad ar gyfer Spotify</t>
  </si>
  <si>
    <t>Rhowch ystadegau ymgysylltu Spotify</t>
  </si>
  <si>
    <t xml:space="preserve">AM - Rhwydwaith: Adeiladu cynulleidfaoedd a chyfathrebu </t>
  </si>
  <si>
    <t>AM - Llwyfan: cynnal cynnwys creadigol</t>
  </si>
  <si>
    <t>Ystadegau eraill</t>
  </si>
  <si>
    <t>AM - Arall</t>
  </si>
  <si>
    <t>Mynychu Taith Gerdded Rithiol Dri Dimensiwn</t>
  </si>
  <si>
    <t>Fideogynadledda: Saesneg</t>
  </si>
  <si>
    <t>Fideogynadledda: Cymraeg</t>
  </si>
  <si>
    <t>Fideogynadledda: Arall</t>
  </si>
  <si>
    <t>Fideogynadledda: Dwyieithog</t>
  </si>
  <si>
    <t>Fideogynadledda: Amlieithog</t>
  </si>
  <si>
    <t>Fideogynadledda: Iaith amherthnasol</t>
  </si>
  <si>
    <t>Perfformiadau Proffesiynol</t>
  </si>
  <si>
    <t>Rhifynnau Adnoddau/Cylchlythyrau: Saesneg</t>
  </si>
  <si>
    <t>Adnoddau/Cylchlythyrau: Saesneg</t>
  </si>
  <si>
    <t>Derbynwyr Adnoddau/Cylchlythyrau: Saesneg</t>
  </si>
  <si>
    <t>Adnoddau/Cylchlythyrau: Cymraeg</t>
  </si>
  <si>
    <t>Rhifynnau Adnoddau/Cylchlythyrau: Cymraeg</t>
  </si>
  <si>
    <t>Derbynwyr Adnoddau/Cylchlythyrau: Cymraeg</t>
  </si>
  <si>
    <t>Adnoddau/Cylchlythyrau: Arall</t>
  </si>
  <si>
    <t>Rhifynnau Adnoddau/Cylchlythyrau: Arall</t>
  </si>
  <si>
    <t>Derbynwyr Adnoddau/Cylchlythyrau: Arall</t>
  </si>
  <si>
    <t>Adnoddau/Cylchlythyrau: Dwyieithog</t>
  </si>
  <si>
    <t>Rhifynnau Adnoddau/|Cylchlythyrau: Dwyieithog</t>
  </si>
  <si>
    <t>Adnoddau/Cylchlythyrau: Amlieithog</t>
  </si>
  <si>
    <t>Derbynwyr Adnoddau/Cylchlythyrau: Dwyieithog</t>
  </si>
  <si>
    <t>Rhifynnau Adnoddau/Cylchlythyrau: Amlieithog</t>
  </si>
  <si>
    <t>Derbynwyr Adnoddau/Cylchlythyrau: Amlieithog</t>
  </si>
  <si>
    <t>Canllawiau cyffredinol y Portffolio</t>
  </si>
  <si>
    <t>1 Hydref 2022 - 30 Mawrth 2022</t>
  </si>
  <si>
    <t>Arolwg o Bortffolio Celfyddydol Cymru 2022/23</t>
  </si>
  <si>
    <t>Mae 13 adran yn arolwg hanner cyntaf 2022/23:</t>
  </si>
  <si>
    <t>Dydd Llun Tachwedd 7fed</t>
  </si>
  <si>
    <t xml:space="preserve">Hanner cyntaf yr Arolwg o’r Portffolio 2022/23 </t>
  </si>
  <si>
    <t>Mae canllawiau i’r arolwg yma: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</si>
</sst>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8">
    <font>
      <sz val="11"/>
      <color theme="1"/>
      <name val="Calibri"/>
      <family val="2"/>
      <scheme val="minor"/>
    </font>
    <font>
      <sz val="12"/>
      <color theme="1"/>
      <name val="FS Me Light"/>
      <family val="2"/>
    </font>
    <font>
      <sz val="12"/>
      <color theme="1"/>
      <name val="FS Me Light"/>
      <family val="2"/>
    </font>
    <font>
      <sz val="12"/>
      <color theme="1"/>
      <name val="FS Me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404040"/>
      <name val="FS Me Light"/>
    </font>
    <font>
      <vertAlign val="superscript"/>
      <sz val="12"/>
      <color rgb="FF404040"/>
      <name val="FS Me Light"/>
    </font>
    <font>
      <sz val="11"/>
      <color theme="1"/>
      <name val="FS Me Light"/>
    </font>
    <font>
      <sz val="11"/>
      <name val="FS Me Light"/>
    </font>
    <font>
      <b/>
      <sz val="12"/>
      <name val="FS Me Light"/>
    </font>
    <font>
      <sz val="12"/>
      <name val="FS Me Light"/>
    </font>
    <font>
      <sz val="12"/>
      <color theme="1"/>
      <name val="FS Me Light"/>
    </font>
    <font>
      <b/>
      <sz val="11"/>
      <name val="FS Me Light"/>
    </font>
    <font>
      <sz val="11.5"/>
      <color theme="1"/>
      <name val="FS Me Light"/>
    </font>
    <font>
      <sz val="11"/>
      <color rgb="FFFF0000"/>
      <name val="FS Me Light"/>
    </font>
    <font>
      <b/>
      <sz val="11"/>
      <color theme="1"/>
      <name val="FS Me Light"/>
    </font>
    <font>
      <sz val="7"/>
      <color rgb="FF404040"/>
      <name val="FS Me Light"/>
    </font>
    <font>
      <sz val="14"/>
      <color theme="1"/>
      <name val="FS Me Light"/>
    </font>
    <font>
      <sz val="14"/>
      <name val="FS Me Light"/>
    </font>
    <font>
      <b/>
      <sz val="12"/>
      <color theme="1"/>
      <name val="FS Me Light"/>
    </font>
    <font>
      <sz val="12"/>
      <color rgb="FF000000"/>
      <name val="FS Me Light"/>
    </font>
    <font>
      <u/>
      <sz val="12"/>
      <color theme="10"/>
      <name val="FS Me Light"/>
      <family val="2"/>
    </font>
    <font>
      <sz val="16"/>
      <color rgb="FF404040"/>
      <name val="FS Me"/>
    </font>
    <font>
      <sz val="14"/>
      <color rgb="FF404040"/>
      <name val="FS Me"/>
    </font>
    <font>
      <sz val="12"/>
      <color theme="1"/>
      <name val="FS Me"/>
    </font>
    <font>
      <sz val="12"/>
      <color rgb="FF404040"/>
      <name val="FS Me"/>
    </font>
    <font>
      <b/>
      <sz val="12"/>
      <color rgb="FF404040"/>
      <name val="FS Me Light"/>
    </font>
    <font>
      <sz val="12"/>
      <name val="FS Me"/>
    </font>
    <font>
      <sz val="16"/>
      <color rgb="FF000000"/>
      <name val="FS Me"/>
    </font>
    <font>
      <sz val="14"/>
      <color rgb="FF000000"/>
      <name val="FS Me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2"/>
      <color rgb="FF006699"/>
      <name val="FS Me"/>
    </font>
    <font>
      <sz val="12"/>
      <color rgb="FF595959"/>
      <name val="FS Me Light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FS Me Light"/>
    </font>
    <font>
      <b/>
      <sz val="10"/>
      <color rgb="FF000000"/>
      <name val="FS Me Light"/>
    </font>
    <font>
      <sz val="10"/>
      <color rgb="FF000000"/>
      <name val="FS Me Light"/>
    </font>
    <font>
      <sz val="10"/>
      <color indexed="8"/>
      <name val="FS Me Light"/>
    </font>
    <font>
      <b/>
      <sz val="11"/>
      <color rgb="FF000000"/>
      <name val="FS Me Light"/>
    </font>
    <font>
      <b/>
      <sz val="16"/>
      <color rgb="FF000000"/>
      <name val="FS Me Light"/>
    </font>
    <font>
      <sz val="12"/>
      <color theme="0"/>
      <name val="FS Me Light"/>
    </font>
    <font>
      <sz val="11"/>
      <color rgb="FF000000"/>
      <name val="FS Me Light"/>
    </font>
    <font>
      <sz val="11"/>
      <color theme="0"/>
      <name val="FS Me Light"/>
    </font>
    <font>
      <b/>
      <sz val="12"/>
      <color rgb="FFFFFFFF"/>
      <name val="FS Me Light"/>
    </font>
    <font>
      <sz val="11"/>
      <color rgb="FFFFFFFF"/>
      <name val="FS Me Light"/>
    </font>
    <font>
      <sz val="10"/>
      <color rgb="FFFFFFFF"/>
      <name val="FS Me Light"/>
    </font>
    <font>
      <sz val="12"/>
      <color rgb="FFFFFFFF"/>
      <name val="FS Me Light"/>
    </font>
    <font>
      <sz val="11.5"/>
      <color rgb="FF000000"/>
      <name val="FS Me Light"/>
    </font>
    <font>
      <sz val="11.5"/>
      <color rgb="FFFFFFFF"/>
      <name val="FS Me Light"/>
    </font>
    <font>
      <b/>
      <sz val="10"/>
      <name val="FS Me Ligh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FS Me Light"/>
    </font>
    <font>
      <b/>
      <u/>
      <sz val="12"/>
      <color theme="4" tint="-0.24994659260841701"/>
      <name val="FS Me Light"/>
    </font>
    <font>
      <b/>
      <sz val="12"/>
      <color rgb="FF006699"/>
      <name val="FS Me"/>
    </font>
  </fonts>
  <fills count="22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F243E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9" fontId="53" fillId="0" borderId="0" applyFont="0" applyFill="0" applyBorder="0" applyAlignment="0" applyProtection="0"/>
  </cellStyleXfs>
  <cellXfs count="426">
    <xf numFmtId="0" fontId="0" fillId="0" borderId="0" xfId="0"/>
    <xf numFmtId="0" fontId="6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8" fillId="0" borderId="0" xfId="0" applyFont="1" applyAlignment="1">
      <alignment horizontal="left" vertical="top" indent="1"/>
    </xf>
    <xf numFmtId="0" fontId="9" fillId="0" borderId="10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vertical="top" indent="1"/>
    </xf>
    <xf numFmtId="0" fontId="9" fillId="0" borderId="17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vertical="top" wrapText="1" indent="1"/>
    </xf>
    <xf numFmtId="0" fontId="9" fillId="0" borderId="17" xfId="0" applyFont="1" applyBorder="1" applyAlignment="1">
      <alignment horizontal="left" vertical="top" wrapText="1" indent="1"/>
    </xf>
    <xf numFmtId="0" fontId="9" fillId="0" borderId="18" xfId="0" applyFont="1" applyBorder="1" applyAlignment="1">
      <alignment horizontal="left" vertical="top" wrapText="1" indent="1"/>
    </xf>
    <xf numFmtId="0" fontId="9" fillId="0" borderId="18" xfId="0" applyFont="1" applyBorder="1" applyAlignment="1">
      <alignment horizontal="left" vertical="top" indent="1"/>
    </xf>
    <xf numFmtId="0" fontId="8" fillId="0" borderId="4" xfId="0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0" fontId="8" fillId="0" borderId="9" xfId="0" applyFont="1" applyBorder="1" applyAlignment="1">
      <alignment horizontal="left" vertical="top" indent="1"/>
    </xf>
    <xf numFmtId="0" fontId="12" fillId="0" borderId="0" xfId="0" applyFont="1" applyAlignment="1">
      <alignment horizontal="left" vertical="top" indent="1"/>
    </xf>
    <xf numFmtId="0" fontId="11" fillId="0" borderId="16" xfId="0" applyFont="1" applyBorder="1" applyAlignment="1">
      <alignment horizontal="left" vertical="top" wrapText="1" indent="1"/>
    </xf>
    <xf numFmtId="0" fontId="11" fillId="0" borderId="24" xfId="0" applyFont="1" applyBorder="1" applyAlignment="1">
      <alignment horizontal="left" vertical="top" wrapText="1" indent="1"/>
    </xf>
    <xf numFmtId="0" fontId="11" fillId="0" borderId="17" xfId="0" applyFont="1" applyBorder="1" applyAlignment="1">
      <alignment horizontal="left" vertical="top" wrapText="1" indent="1"/>
    </xf>
    <xf numFmtId="0" fontId="11" fillId="0" borderId="55" xfId="0" applyFont="1" applyBorder="1" applyAlignment="1">
      <alignment horizontal="left" vertical="top" wrapText="1" indent="1"/>
    </xf>
    <xf numFmtId="0" fontId="11" fillId="0" borderId="56" xfId="0" applyFont="1" applyBorder="1" applyAlignment="1">
      <alignment horizontal="left" vertical="top" wrapText="1" indent="1"/>
    </xf>
    <xf numFmtId="0" fontId="11" fillId="0" borderId="67" xfId="0" applyFont="1" applyBorder="1" applyAlignment="1">
      <alignment horizontal="left" vertical="top" wrapText="1" indent="1"/>
    </xf>
    <xf numFmtId="0" fontId="11" fillId="0" borderId="18" xfId="0" applyFont="1" applyBorder="1" applyAlignment="1">
      <alignment horizontal="left" vertical="top" wrapText="1" indent="1"/>
    </xf>
    <xf numFmtId="0" fontId="9" fillId="0" borderId="23" xfId="0" applyFont="1" applyBorder="1" applyAlignment="1">
      <alignment horizontal="left" vertical="top" indent="1"/>
    </xf>
    <xf numFmtId="0" fontId="9" fillId="0" borderId="24" xfId="0" applyFont="1" applyBorder="1" applyAlignment="1">
      <alignment horizontal="left" vertical="top" indent="1"/>
    </xf>
    <xf numFmtId="49" fontId="9" fillId="0" borderId="16" xfId="0" applyNumberFormat="1" applyFont="1" applyBorder="1" applyAlignment="1">
      <alignment horizontal="left" vertical="top" indent="1"/>
    </xf>
    <xf numFmtId="49" fontId="9" fillId="0" borderId="17" xfId="0" applyNumberFormat="1" applyFont="1" applyBorder="1" applyAlignment="1">
      <alignment horizontal="left" vertical="top" indent="1"/>
    </xf>
    <xf numFmtId="49" fontId="9" fillId="0" borderId="24" xfId="0" applyNumberFormat="1" applyFont="1" applyBorder="1" applyAlignment="1">
      <alignment horizontal="left" vertical="top" indent="1"/>
    </xf>
    <xf numFmtId="0" fontId="11" fillId="0" borderId="17" xfId="0" applyFont="1" applyBorder="1" applyAlignment="1">
      <alignment horizontal="left" vertical="top" indent="1"/>
    </xf>
    <xf numFmtId="0" fontId="12" fillId="0" borderId="16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top" wrapText="1" indent="1"/>
    </xf>
    <xf numFmtId="0" fontId="12" fillId="0" borderId="56" xfId="0" applyFont="1" applyBorder="1" applyAlignment="1">
      <alignment horizontal="left" vertical="top" wrapText="1" indent="1"/>
    </xf>
    <xf numFmtId="0" fontId="12" fillId="0" borderId="47" xfId="0" applyFont="1" applyBorder="1" applyAlignment="1">
      <alignment horizontal="left" vertical="top" wrapText="1" indent="1"/>
    </xf>
    <xf numFmtId="0" fontId="12" fillId="0" borderId="26" xfId="0" applyFont="1" applyBorder="1" applyAlignment="1">
      <alignment horizontal="left" vertical="top" wrapText="1" indent="1"/>
    </xf>
    <xf numFmtId="0" fontId="12" fillId="0" borderId="31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indent="1"/>
    </xf>
    <xf numFmtId="0" fontId="12" fillId="0" borderId="5" xfId="0" applyFont="1" applyBorder="1" applyAlignment="1">
      <alignment horizontal="left" vertical="top" indent="1"/>
    </xf>
    <xf numFmtId="0" fontId="12" fillId="0" borderId="1" xfId="0" applyFont="1" applyBorder="1" applyAlignment="1">
      <alignment horizontal="left" vertical="top" indent="1"/>
    </xf>
    <xf numFmtId="0" fontId="12" fillId="0" borderId="35" xfId="0" applyFont="1" applyBorder="1" applyAlignment="1">
      <alignment horizontal="left" vertical="top" wrapText="1" indent="1"/>
    </xf>
    <xf numFmtId="0" fontId="12" fillId="0" borderId="9" xfId="0" applyFont="1" applyBorder="1" applyAlignment="1">
      <alignment horizontal="left" vertical="top" indent="1"/>
    </xf>
    <xf numFmtId="0" fontId="9" fillId="0" borderId="55" xfId="0" applyFont="1" applyBorder="1" applyAlignment="1">
      <alignment horizontal="left" vertical="top" wrapText="1" indent="1"/>
    </xf>
    <xf numFmtId="0" fontId="9" fillId="0" borderId="56" xfId="0" applyFont="1" applyBorder="1" applyAlignment="1">
      <alignment horizontal="left" vertical="top" wrapText="1" indent="1"/>
    </xf>
    <xf numFmtId="0" fontId="8" fillId="0" borderId="59" xfId="0" applyFont="1" applyBorder="1" applyAlignment="1">
      <alignment horizontal="left" vertical="top" indent="1"/>
    </xf>
    <xf numFmtId="0" fontId="8" fillId="0" borderId="60" xfId="0" applyFont="1" applyBorder="1" applyAlignment="1">
      <alignment horizontal="left" vertical="top" indent="1"/>
    </xf>
    <xf numFmtId="0" fontId="8" fillId="0" borderId="61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58" xfId="0" applyFont="1" applyBorder="1" applyAlignment="1">
      <alignment horizontal="left" vertical="top" indent="1"/>
    </xf>
    <xf numFmtId="0" fontId="8" fillId="0" borderId="72" xfId="0" applyFont="1" applyBorder="1" applyAlignment="1">
      <alignment horizontal="left" vertical="top" indent="1"/>
    </xf>
    <xf numFmtId="0" fontId="8" fillId="0" borderId="73" xfId="0" applyFont="1" applyBorder="1" applyAlignment="1">
      <alignment horizontal="left" vertical="top" indent="1"/>
    </xf>
    <xf numFmtId="0" fontId="8" fillId="0" borderId="16" xfId="0" applyFont="1" applyBorder="1" applyAlignment="1">
      <alignment horizontal="left" vertical="top" wrapText="1" indent="1"/>
    </xf>
    <xf numFmtId="0" fontId="8" fillId="0" borderId="17" xfId="0" applyFont="1" applyBorder="1" applyAlignment="1">
      <alignment horizontal="left" vertical="top" wrapText="1" indent="1"/>
    </xf>
    <xf numFmtId="0" fontId="8" fillId="0" borderId="18" xfId="0" applyFont="1" applyBorder="1" applyAlignment="1">
      <alignment horizontal="left" vertical="top" wrapText="1" indent="1"/>
    </xf>
    <xf numFmtId="0" fontId="8" fillId="0" borderId="24" xfId="0" applyFont="1" applyBorder="1" applyAlignment="1">
      <alignment horizontal="left" vertical="top" wrapText="1" indent="1"/>
    </xf>
    <xf numFmtId="0" fontId="8" fillId="0" borderId="57" xfId="0" applyFont="1" applyBorder="1" applyAlignment="1">
      <alignment horizontal="left" vertical="top" wrapText="1" indent="1"/>
    </xf>
    <xf numFmtId="0" fontId="8" fillId="0" borderId="0" xfId="0" applyFont="1" applyAlignment="1">
      <alignment vertical="top"/>
    </xf>
    <xf numFmtId="0" fontId="14" fillId="0" borderId="41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8" fillId="0" borderId="6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indent="1"/>
    </xf>
    <xf numFmtId="0" fontId="30" fillId="0" borderId="0" xfId="3" applyFont="1" applyAlignment="1">
      <alignment horizontal="left" vertical="top" indent="1"/>
    </xf>
    <xf numFmtId="0" fontId="29" fillId="0" borderId="0" xfId="3" applyFont="1" applyAlignment="1">
      <alignment horizontal="left" vertical="top" indent="1"/>
    </xf>
    <xf numFmtId="0" fontId="2" fillId="0" borderId="0" xfId="3" applyAlignment="1">
      <alignment horizontal="left" vertical="top" indent="1"/>
    </xf>
    <xf numFmtId="0" fontId="21" fillId="0" borderId="0" xfId="3" applyFont="1" applyAlignment="1">
      <alignment horizontal="left" vertical="top" wrapText="1" indent="1"/>
    </xf>
    <xf numFmtId="0" fontId="37" fillId="0" borderId="0" xfId="4" applyFont="1" applyAlignment="1">
      <alignment horizontal="left" vertical="top" indent="1"/>
    </xf>
    <xf numFmtId="0" fontId="22" fillId="0" borderId="0" xfId="2" applyAlignment="1">
      <alignment horizontal="left" vertical="top" indent="1"/>
    </xf>
    <xf numFmtId="0" fontId="21" fillId="0" borderId="0" xfId="3" applyFont="1" applyAlignment="1">
      <alignment horizontal="left" vertical="top" indent="1"/>
    </xf>
    <xf numFmtId="0" fontId="31" fillId="0" borderId="0" xfId="3" applyFont="1" applyAlignment="1">
      <alignment horizontal="left" vertical="top" indent="1"/>
    </xf>
    <xf numFmtId="0" fontId="33" fillId="0" borderId="0" xfId="3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36" fillId="0" borderId="0" xfId="0" applyFont="1" applyAlignment="1">
      <alignment horizontal="left" vertical="top" indent="1"/>
    </xf>
    <xf numFmtId="0" fontId="38" fillId="0" borderId="0" xfId="0" applyFont="1" applyAlignment="1">
      <alignment horizontal="left" vertical="top" wrapText="1" indent="1"/>
    </xf>
    <xf numFmtId="0" fontId="34" fillId="0" borderId="0" xfId="0" applyFont="1" applyAlignment="1">
      <alignment horizontal="left" vertical="top" wrapText="1" indent="1"/>
    </xf>
    <xf numFmtId="0" fontId="38" fillId="2" borderId="36" xfId="0" applyFont="1" applyFill="1" applyBorder="1" applyAlignment="1">
      <alignment horizontal="left" vertical="top" wrapText="1" indent="1"/>
    </xf>
    <xf numFmtId="0" fontId="38" fillId="2" borderId="8" xfId="0" applyFont="1" applyFill="1" applyBorder="1" applyAlignment="1">
      <alignment horizontal="left" vertical="top" wrapText="1" indent="1"/>
    </xf>
    <xf numFmtId="0" fontId="38" fillId="2" borderId="58" xfId="0" applyFont="1" applyFill="1" applyBorder="1" applyAlignment="1">
      <alignment horizontal="left" vertical="top" wrapText="1" indent="1"/>
    </xf>
    <xf numFmtId="3" fontId="39" fillId="0" borderId="10" xfId="0" applyNumberFormat="1" applyFont="1" applyBorder="1" applyAlignment="1">
      <alignment horizontal="left" vertical="top" wrapText="1" indent="1"/>
    </xf>
    <xf numFmtId="0" fontId="38" fillId="2" borderId="75" xfId="0" applyFont="1" applyFill="1" applyBorder="1" applyAlignment="1">
      <alignment horizontal="left" vertical="top" wrapText="1" indent="1"/>
    </xf>
    <xf numFmtId="3" fontId="40" fillId="0" borderId="76" xfId="0" applyNumberFormat="1" applyFont="1" applyBorder="1" applyAlignment="1">
      <alignment horizontal="left" vertical="top" wrapText="1" indent="1"/>
    </xf>
    <xf numFmtId="3" fontId="38" fillId="0" borderId="70" xfId="0" applyNumberFormat="1" applyFont="1" applyBorder="1" applyAlignment="1">
      <alignment horizontal="left" vertical="top" wrapText="1" indent="1"/>
    </xf>
    <xf numFmtId="0" fontId="34" fillId="0" borderId="0" xfId="0" applyFont="1" applyAlignment="1">
      <alignment horizontal="left" vertical="top" indent="1"/>
    </xf>
    <xf numFmtId="3" fontId="39" fillId="0" borderId="76" xfId="0" applyNumberFormat="1" applyFont="1" applyBorder="1" applyAlignment="1">
      <alignment horizontal="left" vertical="top" wrapText="1" indent="1"/>
    </xf>
    <xf numFmtId="0" fontId="41" fillId="0" borderId="0" xfId="0" applyFont="1" applyAlignment="1">
      <alignment horizontal="left" vertical="top" indent="1"/>
    </xf>
    <xf numFmtId="0" fontId="43" fillId="0" borderId="0" xfId="0" applyFont="1" applyAlignment="1">
      <alignment horizontal="left" vertical="top" indent="1"/>
    </xf>
    <xf numFmtId="0" fontId="44" fillId="3" borderId="0" xfId="0" applyFont="1" applyFill="1" applyAlignment="1">
      <alignment horizontal="left" vertical="top" indent="1"/>
    </xf>
    <xf numFmtId="0" fontId="8" fillId="3" borderId="0" xfId="0" applyFont="1" applyFill="1" applyAlignment="1">
      <alignment horizontal="left" vertical="top" indent="1"/>
    </xf>
    <xf numFmtId="0" fontId="44" fillId="4" borderId="0" xfId="0" applyFont="1" applyFill="1" applyAlignment="1">
      <alignment horizontal="left" vertical="top" indent="1"/>
    </xf>
    <xf numFmtId="0" fontId="39" fillId="4" borderId="0" xfId="0" applyFont="1" applyFill="1" applyAlignment="1">
      <alignment horizontal="left" vertical="top" indent="1"/>
    </xf>
    <xf numFmtId="0" fontId="8" fillId="5" borderId="0" xfId="0" applyFont="1" applyFill="1" applyAlignment="1">
      <alignment horizontal="left" vertical="top" indent="1"/>
    </xf>
    <xf numFmtId="0" fontId="39" fillId="4" borderId="0" xfId="0" applyFont="1" applyFill="1" applyAlignment="1">
      <alignment horizontal="left" vertical="top" wrapText="1" indent="1"/>
    </xf>
    <xf numFmtId="0" fontId="9" fillId="0" borderId="0" xfId="0" applyFont="1" applyAlignment="1">
      <alignment horizontal="left" vertical="top" indent="1"/>
    </xf>
    <xf numFmtId="0" fontId="44" fillId="4" borderId="0" xfId="0" applyFont="1" applyFill="1" applyAlignment="1">
      <alignment horizontal="left" vertical="top" wrapText="1" indent="1"/>
    </xf>
    <xf numFmtId="0" fontId="45" fillId="0" borderId="0" xfId="0" applyFont="1" applyAlignment="1">
      <alignment horizontal="left" vertical="top" indent="1"/>
    </xf>
    <xf numFmtId="0" fontId="46" fillId="6" borderId="0" xfId="0" applyFont="1" applyFill="1" applyAlignment="1">
      <alignment horizontal="left" vertical="top" indent="1"/>
    </xf>
    <xf numFmtId="0" fontId="48" fillId="6" borderId="0" xfId="0" applyFont="1" applyFill="1" applyAlignment="1">
      <alignment horizontal="left" vertical="top" indent="1"/>
    </xf>
    <xf numFmtId="0" fontId="45" fillId="7" borderId="0" xfId="0" applyFont="1" applyFill="1" applyAlignment="1">
      <alignment horizontal="left" vertical="top" indent="1"/>
    </xf>
    <xf numFmtId="0" fontId="49" fillId="6" borderId="0" xfId="0" applyFont="1" applyFill="1" applyAlignment="1">
      <alignment horizontal="left" vertical="top" wrapText="1" indent="1"/>
    </xf>
    <xf numFmtId="0" fontId="47" fillId="6" borderId="0" xfId="0" applyFont="1" applyFill="1" applyAlignment="1">
      <alignment horizontal="left" vertical="top" wrapText="1" indent="1"/>
    </xf>
    <xf numFmtId="49" fontId="45" fillId="7" borderId="0" xfId="0" applyNumberFormat="1" applyFont="1" applyFill="1" applyAlignment="1">
      <alignment horizontal="left" vertical="top" indent="1"/>
    </xf>
    <xf numFmtId="0" fontId="43" fillId="6" borderId="0" xfId="0" applyFont="1" applyFill="1" applyAlignment="1">
      <alignment horizontal="left" vertical="top" indent="1"/>
    </xf>
    <xf numFmtId="0" fontId="47" fillId="8" borderId="0" xfId="0" applyFont="1" applyFill="1" applyAlignment="1">
      <alignment horizontal="left" vertical="top" indent="1"/>
    </xf>
    <xf numFmtId="0" fontId="45" fillId="9" borderId="0" xfId="0" applyFont="1" applyFill="1" applyAlignment="1">
      <alignment horizontal="left" vertical="top" indent="1"/>
    </xf>
    <xf numFmtId="0" fontId="47" fillId="8" borderId="0" xfId="0" applyFont="1" applyFill="1" applyAlignment="1">
      <alignment horizontal="left" vertical="top" wrapText="1" indent="1"/>
    </xf>
    <xf numFmtId="0" fontId="44" fillId="10" borderId="0" xfId="0" applyFont="1" applyFill="1" applyAlignment="1">
      <alignment horizontal="left" vertical="top" indent="1"/>
    </xf>
    <xf numFmtId="0" fontId="8" fillId="11" borderId="0" xfId="0" applyFont="1" applyFill="1" applyAlignment="1">
      <alignment horizontal="left" vertical="top" indent="1"/>
    </xf>
    <xf numFmtId="0" fontId="44" fillId="10" borderId="0" xfId="0" applyFont="1" applyFill="1" applyAlignment="1">
      <alignment horizontal="left" vertical="top" wrapText="1" indent="1"/>
    </xf>
    <xf numFmtId="0" fontId="44" fillId="12" borderId="0" xfId="0" applyFont="1" applyFill="1" applyAlignment="1">
      <alignment horizontal="left" vertical="top" indent="1"/>
    </xf>
    <xf numFmtId="0" fontId="8" fillId="13" borderId="0" xfId="0" applyFont="1" applyFill="1" applyAlignment="1">
      <alignment horizontal="left" vertical="top" indent="1"/>
    </xf>
    <xf numFmtId="0" fontId="44" fillId="12" borderId="0" xfId="0" applyFont="1" applyFill="1" applyAlignment="1">
      <alignment horizontal="left" vertical="top" wrapText="1" indent="1"/>
    </xf>
    <xf numFmtId="0" fontId="47" fillId="14" borderId="0" xfId="0" applyFont="1" applyFill="1" applyAlignment="1">
      <alignment horizontal="left" vertical="top" indent="1"/>
    </xf>
    <xf numFmtId="0" fontId="45" fillId="15" borderId="0" xfId="0" applyFont="1" applyFill="1" applyAlignment="1">
      <alignment horizontal="left" vertical="top" indent="1"/>
    </xf>
    <xf numFmtId="0" fontId="47" fillId="14" borderId="0" xfId="0" applyFont="1" applyFill="1" applyAlignment="1">
      <alignment horizontal="left" vertical="top" wrapText="1" indent="1"/>
    </xf>
    <xf numFmtId="0" fontId="45" fillId="15" borderId="0" xfId="0" applyFont="1" applyFill="1" applyAlignment="1">
      <alignment horizontal="left" vertical="top" wrapText="1" indent="1"/>
    </xf>
    <xf numFmtId="0" fontId="44" fillId="16" borderId="0" xfId="0" applyFont="1" applyFill="1" applyAlignment="1">
      <alignment horizontal="left" vertical="top" indent="1"/>
    </xf>
    <xf numFmtId="0" fontId="8" fillId="16" borderId="0" xfId="0" applyFont="1" applyFill="1" applyAlignment="1">
      <alignment horizontal="left" vertical="top" indent="1"/>
    </xf>
    <xf numFmtId="0" fontId="50" fillId="16" borderId="0" xfId="0" applyFont="1" applyFill="1" applyAlignment="1">
      <alignment horizontal="left" vertical="top" wrapText="1" indent="1"/>
    </xf>
    <xf numFmtId="0" fontId="14" fillId="16" borderId="0" xfId="0" applyFont="1" applyFill="1" applyAlignment="1">
      <alignment horizontal="left" vertical="top" wrapText="1" indent="1"/>
    </xf>
    <xf numFmtId="0" fontId="44" fillId="16" borderId="0" xfId="0" applyFont="1" applyFill="1" applyAlignment="1">
      <alignment horizontal="left" vertical="top" wrapText="1" indent="1"/>
    </xf>
    <xf numFmtId="0" fontId="47" fillId="17" borderId="0" xfId="0" applyFont="1" applyFill="1" applyAlignment="1">
      <alignment horizontal="left" vertical="top" indent="1"/>
    </xf>
    <xf numFmtId="0" fontId="45" fillId="17" borderId="0" xfId="0" applyFont="1" applyFill="1" applyAlignment="1">
      <alignment horizontal="left" vertical="top" indent="1"/>
    </xf>
    <xf numFmtId="0" fontId="51" fillId="17" borderId="0" xfId="0" applyFont="1" applyFill="1" applyAlignment="1">
      <alignment horizontal="left" vertical="top" wrapText="1" indent="1"/>
    </xf>
    <xf numFmtId="0" fontId="47" fillId="17" borderId="0" xfId="0" applyFont="1" applyFill="1" applyAlignment="1">
      <alignment horizontal="left" vertical="top" wrapText="1" indent="1"/>
    </xf>
    <xf numFmtId="0" fontId="48" fillId="17" borderId="0" xfId="0" applyFont="1" applyFill="1" applyAlignment="1">
      <alignment horizontal="left" vertical="top" wrapText="1" indent="1"/>
    </xf>
    <xf numFmtId="0" fontId="47" fillId="18" borderId="0" xfId="0" applyFont="1" applyFill="1" applyAlignment="1">
      <alignment horizontal="left" vertical="top" indent="1"/>
    </xf>
    <xf numFmtId="0" fontId="45" fillId="19" borderId="0" xfId="0" applyFont="1" applyFill="1" applyAlignment="1">
      <alignment horizontal="left" vertical="top" indent="1"/>
    </xf>
    <xf numFmtId="0" fontId="47" fillId="18" borderId="0" xfId="0" applyFont="1" applyFill="1" applyAlignment="1">
      <alignment horizontal="left" vertical="top" wrapText="1" indent="1"/>
    </xf>
    <xf numFmtId="0" fontId="47" fillId="20" borderId="0" xfId="0" applyFont="1" applyFill="1" applyAlignment="1">
      <alignment horizontal="left" vertical="top" indent="1"/>
    </xf>
    <xf numFmtId="0" fontId="47" fillId="20" borderId="0" xfId="0" applyFont="1" applyFill="1" applyAlignment="1">
      <alignment horizontal="left" vertical="top" wrapText="1" indent="1"/>
    </xf>
    <xf numFmtId="0" fontId="45" fillId="20" borderId="0" xfId="0" applyFont="1" applyFill="1" applyAlignment="1">
      <alignment horizontal="left" vertical="top" indent="1"/>
    </xf>
    <xf numFmtId="0" fontId="47" fillId="21" borderId="0" xfId="0" applyFont="1" applyFill="1" applyAlignment="1">
      <alignment horizontal="left" vertical="top" indent="1"/>
    </xf>
    <xf numFmtId="0" fontId="45" fillId="21" borderId="0" xfId="0" applyFont="1" applyFill="1" applyAlignment="1">
      <alignment horizontal="left" vertical="top" indent="1"/>
    </xf>
    <xf numFmtId="0" fontId="47" fillId="16" borderId="0" xfId="0" applyFont="1" applyFill="1" applyAlignment="1">
      <alignment horizontal="left" vertical="top" indent="1"/>
    </xf>
    <xf numFmtId="0" fontId="47" fillId="16" borderId="0" xfId="0" applyFont="1" applyFill="1" applyAlignment="1">
      <alignment horizontal="left" vertical="top" wrapText="1" indent="1"/>
    </xf>
    <xf numFmtId="0" fontId="45" fillId="16" borderId="0" xfId="0" applyFont="1" applyFill="1" applyAlignment="1">
      <alignment horizontal="left" vertical="top" indent="1"/>
    </xf>
    <xf numFmtId="0" fontId="23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24" fillId="0" borderId="0" xfId="3" applyFont="1" applyAlignment="1">
      <alignment horizontal="left" vertical="top" indent="1"/>
    </xf>
    <xf numFmtId="0" fontId="1" fillId="0" borderId="0" xfId="3" applyFont="1" applyAlignment="1">
      <alignment horizontal="left" vertical="top" wrapText="1" indent="1"/>
    </xf>
    <xf numFmtId="0" fontId="12" fillId="0" borderId="0" xfId="3" applyFont="1" applyAlignment="1">
      <alignment horizontal="left" vertical="top" wrapText="1" indent="1"/>
    </xf>
    <xf numFmtId="0" fontId="25" fillId="0" borderId="0" xfId="3" applyFont="1" applyAlignment="1">
      <alignment horizontal="left" vertical="top" wrapText="1" indent="1"/>
    </xf>
    <xf numFmtId="0" fontId="25" fillId="0" borderId="0" xfId="3" applyFont="1" applyAlignment="1">
      <alignment horizontal="left" vertical="top" indent="1"/>
    </xf>
    <xf numFmtId="0" fontId="1" fillId="0" borderId="0" xfId="3" applyFont="1" applyAlignment="1">
      <alignment horizontal="left" vertical="top" indent="1"/>
    </xf>
    <xf numFmtId="0" fontId="12" fillId="0" borderId="0" xfId="3" applyFont="1" applyAlignment="1">
      <alignment horizontal="left" vertical="top" indent="1"/>
    </xf>
    <xf numFmtId="0" fontId="11" fillId="0" borderId="0" xfId="3" applyFont="1" applyAlignment="1">
      <alignment horizontal="left" vertical="top" indent="1"/>
    </xf>
    <xf numFmtId="0" fontId="8" fillId="0" borderId="8" xfId="0" applyFont="1" applyBorder="1" applyAlignment="1">
      <alignment horizontal="left" vertical="top" indent="1"/>
    </xf>
    <xf numFmtId="0" fontId="47" fillId="6" borderId="0" xfId="0" applyFont="1" applyFill="1" applyAlignment="1">
      <alignment horizontal="left" vertical="top" indent="1"/>
    </xf>
    <xf numFmtId="0" fontId="14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164" fontId="8" fillId="0" borderId="0" xfId="0" applyNumberFormat="1" applyFont="1" applyAlignment="1">
      <alignment horizontal="left" vertical="top" indent="1"/>
    </xf>
    <xf numFmtId="9" fontId="8" fillId="0" borderId="0" xfId="5" applyFont="1" applyAlignment="1">
      <alignment horizontal="left" vertical="top" indent="1"/>
    </xf>
    <xf numFmtId="9" fontId="9" fillId="0" borderId="0" xfId="5" applyFont="1" applyAlignment="1">
      <alignment horizontal="left" vertical="top" indent="1"/>
    </xf>
    <xf numFmtId="0" fontId="54" fillId="0" borderId="0" xfId="0" applyFont="1" applyAlignment="1">
      <alignment horizontal="left" vertical="top" indent="1"/>
    </xf>
    <xf numFmtId="0" fontId="55" fillId="0" borderId="0" xfId="0" applyFont="1" applyAlignment="1">
      <alignment horizontal="left" vertical="top" indent="1"/>
    </xf>
    <xf numFmtId="1" fontId="55" fillId="0" borderId="0" xfId="0" applyNumberFormat="1" applyFont="1" applyAlignment="1">
      <alignment horizontal="left" vertical="top" indent="1"/>
    </xf>
    <xf numFmtId="3" fontId="55" fillId="0" borderId="0" xfId="0" applyNumberFormat="1" applyFont="1" applyAlignment="1">
      <alignment horizontal="left" vertical="top" indent="1"/>
    </xf>
    <xf numFmtId="3" fontId="45" fillId="0" borderId="0" xfId="0" applyNumberFormat="1" applyFont="1" applyAlignment="1">
      <alignment horizontal="left" vertical="top" indent="1"/>
    </xf>
    <xf numFmtId="9" fontId="45" fillId="0" borderId="0" xfId="5" applyFont="1" applyAlignment="1">
      <alignment horizontal="left" vertical="top" indent="1"/>
    </xf>
    <xf numFmtId="0" fontId="56" fillId="0" borderId="0" xfId="4" applyFont="1" applyAlignment="1">
      <alignment horizontal="left" vertical="top" indent="1"/>
    </xf>
    <xf numFmtId="0" fontId="57" fillId="0" borderId="0" xfId="3" applyFont="1" applyAlignment="1">
      <alignment horizontal="left" vertical="top" indent="1"/>
    </xf>
    <xf numFmtId="0" fontId="35" fillId="0" borderId="0" xfId="4" applyAlignment="1">
      <alignment horizontal="left" vertical="top" wrapText="1" indent="1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left" vertical="center" indent="1"/>
    </xf>
    <xf numFmtId="0" fontId="52" fillId="2" borderId="59" xfId="0" applyFont="1" applyFill="1" applyBorder="1" applyAlignment="1">
      <alignment horizontal="left" vertical="top" wrapText="1" indent="1"/>
    </xf>
    <xf numFmtId="0" fontId="52" fillId="2" borderId="61" xfId="0" applyFont="1" applyFill="1" applyBorder="1" applyAlignment="1">
      <alignment horizontal="left" vertical="top" wrapText="1" indent="1"/>
    </xf>
    <xf numFmtId="0" fontId="42" fillId="0" borderId="0" xfId="0" applyFont="1" applyAlignment="1">
      <alignment horizontal="left" vertical="top" indent="1"/>
    </xf>
    <xf numFmtId="0" fontId="47" fillId="6" borderId="0" xfId="0" applyFont="1" applyFill="1" applyAlignment="1">
      <alignment horizontal="left" vertical="top" indent="1"/>
    </xf>
    <xf numFmtId="0" fontId="8" fillId="0" borderId="11" xfId="0" applyFont="1" applyBorder="1" applyAlignment="1">
      <alignment horizontal="left" vertical="top" indent="1"/>
    </xf>
    <xf numFmtId="0" fontId="8" fillId="0" borderId="14" xfId="0" applyFont="1" applyBorder="1" applyAlignment="1">
      <alignment horizontal="left" vertical="top" indent="1"/>
    </xf>
    <xf numFmtId="0" fontId="8" fillId="0" borderId="16" xfId="0" applyFont="1" applyBorder="1" applyAlignment="1">
      <alignment horizontal="left" vertical="top" indent="1"/>
    </xf>
    <xf numFmtId="0" fontId="8" fillId="0" borderId="12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left" vertical="top" wrapText="1" indent="1"/>
    </xf>
    <xf numFmtId="0" fontId="8" fillId="0" borderId="17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11" fillId="0" borderId="43" xfId="0" applyFont="1" applyBorder="1" applyAlignment="1">
      <alignment horizontal="left" vertical="top" wrapText="1" indent="1"/>
    </xf>
    <xf numFmtId="0" fontId="11" fillId="0" borderId="44" xfId="0" applyFont="1" applyBorder="1" applyAlignment="1">
      <alignment horizontal="left" vertical="top" wrapText="1" indent="1"/>
    </xf>
    <xf numFmtId="0" fontId="9" fillId="0" borderId="12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horizontal="left" vertical="top" wrapText="1" indent="1"/>
    </xf>
    <xf numFmtId="0" fontId="9" fillId="0" borderId="17" xfId="0" applyFont="1" applyBorder="1" applyAlignment="1">
      <alignment horizontal="left" vertical="top" wrapText="1" indent="1"/>
    </xf>
    <xf numFmtId="0" fontId="11" fillId="0" borderId="1" xfId="0" applyFont="1" applyBorder="1" applyAlignment="1">
      <alignment horizontal="left" vertical="top" indent="1"/>
    </xf>
    <xf numFmtId="0" fontId="11" fillId="0" borderId="2" xfId="0" applyFont="1" applyBorder="1" applyAlignment="1">
      <alignment horizontal="left" vertical="top" indent="1"/>
    </xf>
    <xf numFmtId="0" fontId="11" fillId="0" borderId="3" xfId="0" applyFont="1" applyBorder="1" applyAlignment="1">
      <alignment horizontal="left" vertical="top" indent="1"/>
    </xf>
    <xf numFmtId="0" fontId="11" fillId="0" borderId="14" xfId="0" applyFont="1" applyBorder="1" applyAlignment="1">
      <alignment horizontal="left" vertical="top" wrapText="1" indent="1"/>
    </xf>
    <xf numFmtId="0" fontId="11" fillId="0" borderId="10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vertical="top" wrapText="1" indent="1"/>
    </xf>
    <xf numFmtId="0" fontId="9" fillId="0" borderId="16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left" vertical="top" wrapText="1" indent="1"/>
    </xf>
    <xf numFmtId="0" fontId="9" fillId="0" borderId="24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left" vertical="top" indent="1"/>
    </xf>
    <xf numFmtId="0" fontId="9" fillId="0" borderId="2" xfId="0" applyFont="1" applyBorder="1" applyAlignment="1">
      <alignment horizontal="left" vertical="top" indent="1"/>
    </xf>
    <xf numFmtId="0" fontId="9" fillId="0" borderId="37" xfId="0" applyFont="1" applyBorder="1" applyAlignment="1">
      <alignment horizontal="left" vertical="top" indent="1"/>
    </xf>
    <xf numFmtId="0" fontId="9" fillId="0" borderId="38" xfId="0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 wrapText="1" indent="1"/>
    </xf>
    <xf numFmtId="0" fontId="10" fillId="0" borderId="11" xfId="0" applyFont="1" applyBorder="1" applyAlignment="1">
      <alignment horizontal="left" vertical="top" indent="1"/>
    </xf>
    <xf numFmtId="0" fontId="10" fillId="0" borderId="12" xfId="0" applyFont="1" applyBorder="1" applyAlignment="1">
      <alignment horizontal="left" vertical="top" indent="1"/>
    </xf>
    <xf numFmtId="0" fontId="9" fillId="0" borderId="13" xfId="0" applyFont="1" applyBorder="1" applyAlignment="1">
      <alignment horizontal="left" vertical="top" wrapText="1" indent="1"/>
    </xf>
    <xf numFmtId="0" fontId="9" fillId="0" borderId="23" xfId="0" applyFont="1" applyBorder="1" applyAlignment="1">
      <alignment horizontal="left" vertical="top" indent="1"/>
    </xf>
    <xf numFmtId="0" fontId="9" fillId="0" borderId="24" xfId="0" applyFont="1" applyBorder="1" applyAlignment="1">
      <alignment horizontal="left" vertical="top" indent="1"/>
    </xf>
    <xf numFmtId="0" fontId="11" fillId="0" borderId="59" xfId="0" applyFont="1" applyBorder="1" applyAlignment="1">
      <alignment horizontal="left" vertical="top" wrapText="1" indent="1"/>
    </xf>
    <xf numFmtId="0" fontId="11" fillId="0" borderId="60" xfId="0" applyFont="1" applyBorder="1" applyAlignment="1">
      <alignment horizontal="left" vertical="top" wrapText="1" indent="1"/>
    </xf>
    <xf numFmtId="0" fontId="11" fillId="0" borderId="61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vertical="top" indent="1"/>
    </xf>
    <xf numFmtId="0" fontId="9" fillId="0" borderId="14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vertical="top" indent="1"/>
    </xf>
    <xf numFmtId="0" fontId="9" fillId="0" borderId="13" xfId="0" applyFont="1" applyBorder="1" applyAlignment="1">
      <alignment horizontal="left" vertical="top" indent="1"/>
    </xf>
    <xf numFmtId="0" fontId="9" fillId="0" borderId="15" xfId="0" applyFont="1" applyBorder="1" applyAlignment="1">
      <alignment horizontal="left" vertical="top" indent="1"/>
    </xf>
    <xf numFmtId="0" fontId="9" fillId="0" borderId="18" xfId="0" applyFont="1" applyBorder="1" applyAlignment="1">
      <alignment horizontal="left" vertical="top" indent="1"/>
    </xf>
    <xf numFmtId="0" fontId="9" fillId="0" borderId="14" xfId="0" applyFont="1" applyBorder="1" applyAlignment="1">
      <alignment horizontal="left" vertical="top" wrapText="1" indent="1"/>
    </xf>
    <xf numFmtId="0" fontId="9" fillId="0" borderId="3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0" fontId="9" fillId="0" borderId="8" xfId="0" applyFont="1" applyBorder="1" applyAlignment="1">
      <alignment horizontal="left" vertical="top" wrapText="1" indent="1"/>
    </xf>
    <xf numFmtId="0" fontId="9" fillId="0" borderId="25" xfId="0" applyFont="1" applyBorder="1" applyAlignment="1">
      <alignment horizontal="left" vertical="top" wrapText="1" indent="1"/>
    </xf>
    <xf numFmtId="0" fontId="9" fillId="0" borderId="26" xfId="0" applyFont="1" applyBorder="1" applyAlignment="1">
      <alignment horizontal="left" vertical="top" wrapText="1" indent="1"/>
    </xf>
    <xf numFmtId="0" fontId="9" fillId="0" borderId="27" xfId="0" applyFont="1" applyBorder="1" applyAlignment="1">
      <alignment horizontal="left" vertical="top" wrapText="1" indent="1"/>
    </xf>
    <xf numFmtId="0" fontId="9" fillId="0" borderId="28" xfId="0" applyFont="1" applyBorder="1" applyAlignment="1">
      <alignment horizontal="left" vertical="top" wrapText="1" indent="1"/>
    </xf>
    <xf numFmtId="0" fontId="13" fillId="0" borderId="48" xfId="0" applyFont="1" applyBorder="1" applyAlignment="1">
      <alignment horizontal="left" vertical="top" wrapText="1" indent="1"/>
    </xf>
    <xf numFmtId="0" fontId="13" fillId="0" borderId="40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 indent="1"/>
    </xf>
    <xf numFmtId="0" fontId="9" fillId="0" borderId="12" xfId="0" applyFont="1" applyBorder="1" applyAlignment="1">
      <alignment horizontal="left" vertical="top" indent="1"/>
    </xf>
    <xf numFmtId="0" fontId="9" fillId="0" borderId="10" xfId="0" applyFont="1" applyBorder="1" applyAlignment="1">
      <alignment horizontal="left" vertical="top" indent="1"/>
    </xf>
    <xf numFmtId="0" fontId="9" fillId="0" borderId="17" xfId="0" applyFont="1" applyBorder="1" applyAlignment="1">
      <alignment horizontal="left" vertical="top" indent="1"/>
    </xf>
    <xf numFmtId="0" fontId="13" fillId="0" borderId="48" xfId="0" applyFont="1" applyBorder="1" applyAlignment="1">
      <alignment horizontal="left" vertical="top" indent="1"/>
    </xf>
    <xf numFmtId="0" fontId="13" fillId="0" borderId="40" xfId="0" applyFont="1" applyBorder="1" applyAlignment="1">
      <alignment horizontal="left" vertical="top" indent="1"/>
    </xf>
    <xf numFmtId="0" fontId="13" fillId="0" borderId="49" xfId="0" applyFont="1" applyBorder="1" applyAlignment="1">
      <alignment horizontal="left" vertical="top" indent="1"/>
    </xf>
    <xf numFmtId="0" fontId="9" fillId="0" borderId="35" xfId="0" applyFont="1" applyBorder="1" applyAlignment="1">
      <alignment horizontal="left" vertical="top" wrapText="1" indent="1"/>
    </xf>
    <xf numFmtId="0" fontId="9" fillId="0" borderId="9" xfId="0" applyFont="1" applyBorder="1" applyAlignment="1">
      <alignment horizontal="left" vertical="top" wrapText="1" indent="1"/>
    </xf>
    <xf numFmtId="0" fontId="9" fillId="0" borderId="36" xfId="0" applyFont="1" applyBorder="1" applyAlignment="1">
      <alignment horizontal="left" vertical="top" wrapText="1" indent="1"/>
    </xf>
    <xf numFmtId="0" fontId="9" fillId="0" borderId="32" xfId="0" applyFont="1" applyBorder="1" applyAlignment="1">
      <alignment horizontal="left" vertical="top" wrapText="1" indent="1"/>
    </xf>
    <xf numFmtId="0" fontId="9" fillId="0" borderId="33" xfId="0" applyFont="1" applyBorder="1" applyAlignment="1">
      <alignment horizontal="left" vertical="top" wrapText="1" indent="1"/>
    </xf>
    <xf numFmtId="0" fontId="9" fillId="0" borderId="34" xfId="0" applyFont="1" applyBorder="1" applyAlignment="1">
      <alignment horizontal="left" vertical="top" wrapText="1" indent="1"/>
    </xf>
    <xf numFmtId="0" fontId="9" fillId="0" borderId="3" xfId="0" applyFont="1" applyBorder="1" applyAlignment="1">
      <alignment horizontal="left" vertical="top" indent="1"/>
    </xf>
    <xf numFmtId="0" fontId="9" fillId="0" borderId="39" xfId="0" applyFont="1" applyBorder="1" applyAlignment="1">
      <alignment horizontal="left" vertical="top" indent="1"/>
    </xf>
    <xf numFmtId="0" fontId="11" fillId="0" borderId="29" xfId="0" applyFont="1" applyBorder="1" applyAlignment="1">
      <alignment horizontal="left" vertical="top" wrapText="1" indent="1"/>
    </xf>
    <xf numFmtId="0" fontId="11" fillId="0" borderId="30" xfId="0" applyFont="1" applyBorder="1" applyAlignment="1">
      <alignment horizontal="left" vertical="top" wrapText="1" indent="1"/>
    </xf>
    <xf numFmtId="0" fontId="11" fillId="0" borderId="31" xfId="0" applyFont="1" applyBorder="1" applyAlignment="1">
      <alignment horizontal="left" vertical="top" wrapText="1" indent="1"/>
    </xf>
    <xf numFmtId="0" fontId="9" fillId="0" borderId="42" xfId="0" applyFont="1" applyBorder="1" applyAlignment="1">
      <alignment horizontal="left" vertical="top" indent="1"/>
    </xf>
    <xf numFmtId="0" fontId="9" fillId="0" borderId="43" xfId="0" applyFont="1" applyBorder="1" applyAlignment="1">
      <alignment horizontal="left" vertical="top" indent="1"/>
    </xf>
    <xf numFmtId="0" fontId="9" fillId="0" borderId="44" xfId="0" applyFont="1" applyBorder="1" applyAlignment="1">
      <alignment horizontal="left" vertical="top" indent="1"/>
    </xf>
    <xf numFmtId="0" fontId="9" fillId="0" borderId="30" xfId="0" applyFont="1" applyBorder="1" applyAlignment="1">
      <alignment horizontal="left" vertical="top" wrapText="1" indent="1"/>
    </xf>
    <xf numFmtId="0" fontId="9" fillId="0" borderId="31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left" vertical="top" wrapText="1" indent="1"/>
    </xf>
    <xf numFmtId="0" fontId="9" fillId="0" borderId="2" xfId="0" applyFont="1" applyBorder="1" applyAlignment="1">
      <alignment horizontal="left" vertical="top" wrapText="1" indent="1"/>
    </xf>
    <xf numFmtId="0" fontId="9" fillId="0" borderId="37" xfId="0" applyFont="1" applyBorder="1" applyAlignment="1">
      <alignment horizontal="left" vertical="top" wrapText="1" indent="1"/>
    </xf>
    <xf numFmtId="0" fontId="9" fillId="0" borderId="38" xfId="0" applyFont="1" applyBorder="1" applyAlignment="1">
      <alignment horizontal="left" vertical="top" wrapText="1" indent="1"/>
    </xf>
    <xf numFmtId="0" fontId="9" fillId="0" borderId="39" xfId="0" applyFont="1" applyBorder="1" applyAlignment="1">
      <alignment horizontal="left" vertical="top" wrapText="1" indent="1"/>
    </xf>
    <xf numFmtId="0" fontId="13" fillId="0" borderId="11" xfId="0" applyFont="1" applyBorder="1" applyAlignment="1">
      <alignment horizontal="left" vertical="top" wrapText="1" indent="1"/>
    </xf>
    <xf numFmtId="0" fontId="11" fillId="0" borderId="15" xfId="0" applyFont="1" applyBorder="1" applyAlignment="1">
      <alignment horizontal="left" vertical="top" wrapText="1" indent="1"/>
    </xf>
    <xf numFmtId="0" fontId="9" fillId="0" borderId="45" xfId="0" applyFont="1" applyBorder="1" applyAlignment="1">
      <alignment horizontal="left" vertical="top" wrapText="1" indent="1"/>
    </xf>
    <xf numFmtId="0" fontId="9" fillId="0" borderId="46" xfId="0" applyFont="1" applyBorder="1" applyAlignment="1">
      <alignment horizontal="left" vertical="top" wrapText="1" indent="1"/>
    </xf>
    <xf numFmtId="0" fontId="9" fillId="0" borderId="47" xfId="0" applyFont="1" applyBorder="1" applyAlignment="1">
      <alignment horizontal="left" vertical="top" wrapText="1" indent="1"/>
    </xf>
    <xf numFmtId="0" fontId="9" fillId="0" borderId="29" xfId="0" applyFont="1" applyBorder="1" applyAlignment="1">
      <alignment horizontal="left" vertical="top" wrapText="1" indent="1"/>
    </xf>
    <xf numFmtId="0" fontId="9" fillId="0" borderId="15" xfId="0" applyFont="1" applyBorder="1" applyAlignment="1">
      <alignment horizontal="left" vertical="top" wrapText="1" indent="1"/>
    </xf>
    <xf numFmtId="0" fontId="9" fillId="0" borderId="18" xfId="0" applyFont="1" applyBorder="1" applyAlignment="1">
      <alignment horizontal="left" vertical="top" wrapText="1" indent="1"/>
    </xf>
    <xf numFmtId="0" fontId="13" fillId="0" borderId="37" xfId="0" applyFont="1" applyBorder="1" applyAlignment="1">
      <alignment horizontal="left" vertical="top" wrapText="1" indent="1"/>
    </xf>
    <xf numFmtId="0" fontId="13" fillId="0" borderId="38" xfId="0" applyFont="1" applyBorder="1" applyAlignment="1">
      <alignment horizontal="left" vertical="top" wrapText="1" indent="1"/>
    </xf>
    <xf numFmtId="0" fontId="13" fillId="0" borderId="39" xfId="0" applyFont="1" applyBorder="1" applyAlignment="1">
      <alignment horizontal="left" vertical="top" wrapText="1" indent="1"/>
    </xf>
    <xf numFmtId="0" fontId="9" fillId="0" borderId="52" xfId="0" applyFont="1" applyBorder="1" applyAlignment="1">
      <alignment horizontal="left" vertical="top" wrapText="1" indent="1"/>
    </xf>
    <xf numFmtId="0" fontId="11" fillId="0" borderId="50" xfId="0" applyFont="1" applyBorder="1" applyAlignment="1">
      <alignment horizontal="left" vertical="top" wrapText="1" indent="1"/>
    </xf>
    <xf numFmtId="0" fontId="11" fillId="0" borderId="41" xfId="0" applyFont="1" applyBorder="1" applyAlignment="1">
      <alignment horizontal="left" vertical="top" wrapText="1" indent="1"/>
    </xf>
    <xf numFmtId="0" fontId="11" fillId="0" borderId="51" xfId="0" applyFont="1" applyBorder="1" applyAlignment="1">
      <alignment horizontal="left" vertical="top" wrapText="1" indent="1"/>
    </xf>
    <xf numFmtId="0" fontId="11" fillId="0" borderId="20" xfId="0" applyFont="1" applyBorder="1" applyAlignment="1">
      <alignment horizontal="left" vertical="top" wrapText="1" indent="1"/>
    </xf>
    <xf numFmtId="0" fontId="11" fillId="0" borderId="23" xfId="0" applyFont="1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 indent="1"/>
    </xf>
    <xf numFmtId="0" fontId="11" fillId="0" borderId="42" xfId="0" applyFont="1" applyBorder="1" applyAlignment="1">
      <alignment horizontal="left" vertical="top" wrapText="1" indent="1"/>
    </xf>
    <xf numFmtId="0" fontId="11" fillId="0" borderId="44" xfId="0" applyFont="1" applyBorder="1" applyAlignment="1">
      <alignment horizontal="left" vertical="top" indent="1"/>
    </xf>
    <xf numFmtId="0" fontId="12" fillId="0" borderId="11" xfId="0" applyFont="1" applyBorder="1" applyAlignment="1">
      <alignment horizontal="left" vertical="top" wrapText="1" indent="1"/>
    </xf>
    <xf numFmtId="0" fontId="12" fillId="0" borderId="53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left" vertical="top" wrapText="1" indent="1"/>
    </xf>
    <xf numFmtId="0" fontId="12" fillId="0" borderId="13" xfId="0" applyFont="1" applyBorder="1" applyAlignment="1">
      <alignment horizontal="left" vertical="top" wrapText="1" indent="1"/>
    </xf>
    <xf numFmtId="0" fontId="12" fillId="0" borderId="54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indent="1"/>
    </xf>
    <xf numFmtId="0" fontId="12" fillId="0" borderId="2" xfId="0" applyFont="1" applyBorder="1" applyAlignment="1">
      <alignment horizontal="left" vertical="top" indent="1"/>
    </xf>
    <xf numFmtId="0" fontId="12" fillId="0" borderId="3" xfId="0" applyFont="1" applyBorder="1" applyAlignment="1">
      <alignment horizontal="left" vertical="top" indent="1"/>
    </xf>
    <xf numFmtId="0" fontId="12" fillId="0" borderId="4" xfId="0" applyFont="1" applyBorder="1" applyAlignment="1">
      <alignment horizontal="left" vertical="top" indent="1"/>
    </xf>
    <xf numFmtId="0" fontId="12" fillId="0" borderId="0" xfId="0" applyFont="1" applyAlignment="1">
      <alignment horizontal="left" vertical="top" indent="1"/>
    </xf>
    <xf numFmtId="0" fontId="12" fillId="0" borderId="5" xfId="0" applyFont="1" applyBorder="1" applyAlignment="1">
      <alignment horizontal="left" vertical="top" indent="1"/>
    </xf>
    <xf numFmtId="0" fontId="12" fillId="0" borderId="6" xfId="0" applyFont="1" applyBorder="1" applyAlignment="1">
      <alignment horizontal="left" vertical="top" indent="1"/>
    </xf>
    <xf numFmtId="0" fontId="12" fillId="0" borderId="7" xfId="0" applyFont="1" applyBorder="1" applyAlignment="1">
      <alignment horizontal="left" vertical="top" indent="1"/>
    </xf>
    <xf numFmtId="0" fontId="12" fillId="0" borderId="8" xfId="0" applyFont="1" applyBorder="1" applyAlignment="1">
      <alignment horizontal="left" vertical="top" indent="1"/>
    </xf>
    <xf numFmtId="0" fontId="11" fillId="0" borderId="1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3" xfId="0" applyFont="1" applyBorder="1" applyAlignment="1">
      <alignment horizontal="left" vertical="top" wrapText="1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1" fillId="0" borderId="5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wrapText="1" indent="1"/>
    </xf>
    <xf numFmtId="0" fontId="11" fillId="0" borderId="7" xfId="0" applyFont="1" applyBorder="1" applyAlignment="1">
      <alignment horizontal="left" vertical="top" wrapText="1" indent="1"/>
    </xf>
    <xf numFmtId="0" fontId="11" fillId="0" borderId="8" xfId="0" applyFont="1" applyBorder="1" applyAlignment="1">
      <alignment horizontal="left" vertical="top" wrapText="1" indent="1"/>
    </xf>
    <xf numFmtId="0" fontId="12" fillId="0" borderId="19" xfId="0" applyFont="1" applyBorder="1" applyAlignment="1">
      <alignment horizontal="left" vertical="top" indent="1"/>
    </xf>
    <xf numFmtId="0" fontId="12" fillId="0" borderId="12" xfId="0" applyFont="1" applyBorder="1" applyAlignment="1">
      <alignment horizontal="left" vertical="top" indent="1"/>
    </xf>
    <xf numFmtId="0" fontId="12" fillId="0" borderId="22" xfId="0" applyFont="1" applyBorder="1" applyAlignment="1">
      <alignment horizontal="left" vertical="top" indent="1"/>
    </xf>
    <xf numFmtId="0" fontId="11" fillId="0" borderId="18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12" fillId="0" borderId="63" xfId="0" applyFont="1" applyBorder="1" applyAlignment="1">
      <alignment horizontal="left" vertical="top" wrapText="1" indent="1"/>
    </xf>
    <xf numFmtId="0" fontId="12" fillId="0" borderId="57" xfId="0" applyFont="1" applyBorder="1" applyAlignment="1">
      <alignment horizontal="left" vertical="top" wrapText="1" indent="1"/>
    </xf>
    <xf numFmtId="0" fontId="12" fillId="0" borderId="21" xfId="0" applyFont="1" applyBorder="1" applyAlignment="1">
      <alignment horizontal="left" vertical="top" wrapText="1" indent="1"/>
    </xf>
    <xf numFmtId="0" fontId="11" fillId="0" borderId="4" xfId="0" applyFont="1" applyBorder="1" applyAlignment="1">
      <alignment horizontal="left" vertical="top" indent="1"/>
    </xf>
    <xf numFmtId="0" fontId="11" fillId="0" borderId="0" xfId="0" applyFont="1" applyAlignment="1">
      <alignment horizontal="left" vertical="top" indent="1"/>
    </xf>
    <xf numFmtId="0" fontId="11" fillId="0" borderId="37" xfId="0" applyFont="1" applyBorder="1" applyAlignment="1">
      <alignment horizontal="left" vertical="top" indent="1"/>
    </xf>
    <xf numFmtId="0" fontId="11" fillId="0" borderId="38" xfId="0" applyFont="1" applyBorder="1" applyAlignment="1">
      <alignment horizontal="left" vertical="top" indent="1"/>
    </xf>
    <xf numFmtId="0" fontId="12" fillId="0" borderId="48" xfId="0" applyFont="1" applyBorder="1" applyAlignment="1">
      <alignment horizontal="left" vertical="top" wrapText="1" indent="1"/>
    </xf>
    <xf numFmtId="0" fontId="12" fillId="0" borderId="40" xfId="0" applyFont="1" applyBorder="1" applyAlignment="1">
      <alignment horizontal="left" vertical="top" wrapText="1" indent="1"/>
    </xf>
    <xf numFmtId="0" fontId="12" fillId="0" borderId="40" xfId="0" applyFont="1" applyBorder="1" applyAlignment="1">
      <alignment horizontal="left" vertical="top" indent="1"/>
    </xf>
    <xf numFmtId="0" fontId="12" fillId="0" borderId="10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vertical="top" indent="1"/>
    </xf>
    <xf numFmtId="0" fontId="12" fillId="0" borderId="13" xfId="0" applyFont="1" applyBorder="1" applyAlignment="1">
      <alignment horizontal="left" vertical="top" indent="1"/>
    </xf>
    <xf numFmtId="0" fontId="8" fillId="0" borderId="16" xfId="0" applyFont="1" applyBorder="1" applyAlignment="1">
      <alignment horizontal="left" vertical="top" wrapText="1" indent="1"/>
    </xf>
    <xf numFmtId="0" fontId="8" fillId="0" borderId="18" xfId="0" applyFont="1" applyBorder="1" applyAlignment="1">
      <alignment horizontal="left" vertical="top" wrapText="1" indent="1"/>
    </xf>
    <xf numFmtId="0" fontId="8" fillId="0" borderId="12" xfId="0" applyFont="1" applyBorder="1" applyAlignment="1">
      <alignment horizontal="left" vertical="top" indent="1"/>
    </xf>
    <xf numFmtId="0" fontId="8" fillId="0" borderId="13" xfId="0" applyFont="1" applyBorder="1" applyAlignment="1">
      <alignment horizontal="left" vertical="top" wrapText="1" indent="1"/>
    </xf>
    <xf numFmtId="0" fontId="8" fillId="0" borderId="15" xfId="0" applyFont="1" applyBorder="1" applyAlignment="1">
      <alignment horizontal="left" vertical="top" wrapText="1" indent="1"/>
    </xf>
    <xf numFmtId="0" fontId="8" fillId="0" borderId="62" xfId="0" applyFont="1" applyBorder="1" applyAlignment="1">
      <alignment horizontal="left" vertical="top" wrapText="1" indent="1"/>
    </xf>
    <xf numFmtId="0" fontId="8" fillId="0" borderId="47" xfId="0" applyFont="1" applyBorder="1" applyAlignment="1">
      <alignment horizontal="left" vertical="top" wrapText="1" indent="1"/>
    </xf>
    <xf numFmtId="0" fontId="8" fillId="0" borderId="25" xfId="0" applyFont="1" applyBorder="1" applyAlignment="1">
      <alignment horizontal="left" vertical="top" wrapText="1" indent="1"/>
    </xf>
    <xf numFmtId="0" fontId="8" fillId="0" borderId="26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indent="1"/>
    </xf>
    <xf numFmtId="0" fontId="9" fillId="0" borderId="62" xfId="0" applyFont="1" applyBorder="1" applyAlignment="1">
      <alignment horizontal="left" vertical="top" wrapText="1" indent="1"/>
    </xf>
    <xf numFmtId="0" fontId="9" fillId="0" borderId="7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left" vertical="top" indent="1"/>
    </xf>
    <xf numFmtId="0" fontId="14" fillId="0" borderId="64" xfId="0" applyFont="1" applyBorder="1" applyAlignment="1">
      <alignment horizontal="left" vertical="top" wrapText="1" indent="1"/>
    </xf>
    <xf numFmtId="0" fontId="14" fillId="0" borderId="33" xfId="0" applyFont="1" applyBorder="1" applyAlignment="1">
      <alignment horizontal="left" vertical="top" wrapText="1" indent="1"/>
    </xf>
    <xf numFmtId="0" fontId="34" fillId="0" borderId="66" xfId="0" applyFont="1" applyBorder="1" applyAlignment="1">
      <alignment horizontal="left" vertical="top" wrapText="1" indent="1"/>
    </xf>
    <xf numFmtId="0" fontId="34" fillId="0" borderId="74" xfId="0" applyFont="1" applyBorder="1" applyAlignment="1">
      <alignment horizontal="left" vertical="top" wrapText="1" indent="1"/>
    </xf>
    <xf numFmtId="0" fontId="14" fillId="0" borderId="25" xfId="0" applyFont="1" applyBorder="1" applyAlignment="1">
      <alignment horizontal="left" vertical="top" wrapText="1" indent="1"/>
    </xf>
    <xf numFmtId="0" fontId="14" fillId="0" borderId="26" xfId="0" applyFont="1" applyBorder="1" applyAlignment="1">
      <alignment horizontal="left" vertical="top" wrapText="1" indent="1"/>
    </xf>
    <xf numFmtId="0" fontId="8" fillId="0" borderId="66" xfId="0" applyFont="1" applyBorder="1" applyAlignment="1">
      <alignment horizontal="left" vertical="top" wrapText="1" indent="1"/>
    </xf>
    <xf numFmtId="0" fontId="8" fillId="0" borderId="74" xfId="0" applyFont="1" applyBorder="1" applyAlignment="1">
      <alignment horizontal="left" vertical="top" wrapText="1" indent="1"/>
    </xf>
    <xf numFmtId="0" fontId="14" fillId="0" borderId="1" xfId="0" applyFont="1" applyBorder="1" applyAlignment="1">
      <alignment horizontal="left" vertical="top" wrapText="1" indent="1"/>
    </xf>
    <xf numFmtId="0" fontId="14" fillId="0" borderId="0" xfId="0" applyFont="1" applyAlignment="1">
      <alignment horizontal="left" vertical="top" wrapText="1" indent="1"/>
    </xf>
    <xf numFmtId="0" fontId="14" fillId="0" borderId="7" xfId="0" applyFont="1" applyBorder="1" applyAlignment="1">
      <alignment horizontal="left" vertical="top" wrapText="1" indent="1"/>
    </xf>
    <xf numFmtId="0" fontId="14" fillId="0" borderId="2" xfId="0" applyFont="1" applyBorder="1" applyAlignment="1">
      <alignment horizontal="left" vertical="top" wrapText="1" indent="1"/>
    </xf>
    <xf numFmtId="0" fontId="14" fillId="0" borderId="3" xfId="0" applyFont="1" applyBorder="1" applyAlignment="1">
      <alignment horizontal="left" vertical="top" wrapText="1" indent="1"/>
    </xf>
    <xf numFmtId="0" fontId="14" fillId="0" borderId="5" xfId="0" applyFont="1" applyBorder="1" applyAlignment="1">
      <alignment horizontal="left" vertical="top" wrapText="1" indent="1"/>
    </xf>
    <xf numFmtId="0" fontId="14" fillId="0" borderId="8" xfId="0" applyFont="1" applyBorder="1" applyAlignment="1">
      <alignment horizontal="left" vertical="top" wrapText="1" indent="1"/>
    </xf>
    <xf numFmtId="0" fontId="14" fillId="0" borderId="10" xfId="0" applyFont="1" applyBorder="1" applyAlignment="1">
      <alignment horizontal="left" vertical="top" wrapText="1" indent="1"/>
    </xf>
    <xf numFmtId="0" fontId="14" fillId="0" borderId="17" xfId="0" applyFont="1" applyBorder="1" applyAlignment="1">
      <alignment horizontal="left" vertical="top" wrapText="1" indent="1"/>
    </xf>
    <xf numFmtId="0" fontId="14" fillId="0" borderId="71" xfId="0" applyFont="1" applyBorder="1" applyAlignment="1">
      <alignment horizontal="left" vertical="top" wrapText="1" indent="1"/>
    </xf>
    <xf numFmtId="0" fontId="14" fillId="0" borderId="21" xfId="0" applyFont="1" applyBorder="1" applyAlignment="1">
      <alignment horizontal="left" vertical="top" wrapText="1" indent="1"/>
    </xf>
    <xf numFmtId="0" fontId="14" fillId="0" borderId="70" xfId="0" applyFont="1" applyBorder="1" applyAlignment="1">
      <alignment horizontal="left" vertical="top" wrapText="1" indent="1"/>
    </xf>
    <xf numFmtId="0" fontId="14" fillId="0" borderId="15" xfId="0" applyFont="1" applyBorder="1" applyAlignment="1">
      <alignment horizontal="left" vertical="top" wrapText="1" indent="1"/>
    </xf>
    <xf numFmtId="0" fontId="14" fillId="0" borderId="52" xfId="0" applyFont="1" applyBorder="1" applyAlignment="1">
      <alignment horizontal="left" vertical="top" wrapText="1" indent="1"/>
    </xf>
    <xf numFmtId="0" fontId="14" fillId="0" borderId="31" xfId="0" applyFont="1" applyBorder="1" applyAlignment="1">
      <alignment horizontal="left" vertical="top" wrapText="1" indent="1"/>
    </xf>
    <xf numFmtId="0" fontId="14" fillId="0" borderId="1" xfId="0" applyFont="1" applyBorder="1" applyAlignment="1">
      <alignment horizontal="left" vertical="top" indent="1"/>
    </xf>
    <xf numFmtId="0" fontId="14" fillId="0" borderId="2" xfId="0" applyFont="1" applyBorder="1" applyAlignment="1">
      <alignment horizontal="left" vertical="top" indent="1"/>
    </xf>
    <xf numFmtId="0" fontId="14" fillId="0" borderId="3" xfId="0" applyFont="1" applyBorder="1" applyAlignment="1">
      <alignment horizontal="left" vertical="top" indent="1"/>
    </xf>
    <xf numFmtId="0" fontId="14" fillId="0" borderId="23" xfId="0" applyFont="1" applyBorder="1" applyAlignment="1">
      <alignment horizontal="left" vertical="top" wrapText="1" indent="1"/>
    </xf>
    <xf numFmtId="0" fontId="14" fillId="0" borderId="41" xfId="0" applyFont="1" applyBorder="1" applyAlignment="1">
      <alignment horizontal="left" vertical="top" wrapText="1" indent="1"/>
    </xf>
    <xf numFmtId="0" fontId="8" fillId="0" borderId="28" xfId="0" applyFont="1" applyBorder="1" applyAlignment="1">
      <alignment horizontal="left" vertical="top" wrapText="1" indent="1"/>
    </xf>
    <xf numFmtId="0" fontId="34" fillId="0" borderId="25" xfId="0" applyFont="1" applyBorder="1" applyAlignment="1">
      <alignment horizontal="left" vertical="top" wrapText="1" indent="1"/>
    </xf>
    <xf numFmtId="0" fontId="34" fillId="0" borderId="28" xfId="0" applyFont="1" applyBorder="1" applyAlignment="1">
      <alignment horizontal="left" vertical="top" wrapText="1" indent="1"/>
    </xf>
    <xf numFmtId="0" fontId="14" fillId="0" borderId="11" xfId="0" applyFont="1" applyBorder="1" applyAlignment="1">
      <alignment horizontal="left" vertical="top" wrapText="1" indent="1"/>
    </xf>
    <xf numFmtId="0" fontId="14" fillId="0" borderId="12" xfId="0" applyFont="1" applyBorder="1" applyAlignment="1">
      <alignment horizontal="left" vertical="top" wrapText="1" indent="1"/>
    </xf>
    <xf numFmtId="0" fontId="14" fillId="0" borderId="22" xfId="0" applyFont="1" applyBorder="1" applyAlignment="1">
      <alignment horizontal="left" vertical="top" wrapText="1" indent="1"/>
    </xf>
    <xf numFmtId="0" fontId="14" fillId="0" borderId="24" xfId="0" applyFont="1" applyBorder="1" applyAlignment="1">
      <alignment horizontal="left" vertical="top" wrapText="1" indent="1"/>
    </xf>
    <xf numFmtId="0" fontId="14" fillId="0" borderId="14" xfId="0" applyFont="1" applyBorder="1" applyAlignment="1">
      <alignment horizontal="left" vertical="top" wrapText="1" indent="1"/>
    </xf>
    <xf numFmtId="0" fontId="14" fillId="0" borderId="16" xfId="0" applyFont="1" applyBorder="1" applyAlignment="1">
      <alignment horizontal="left" vertical="top" wrapText="1" indent="1"/>
    </xf>
    <xf numFmtId="0" fontId="14" fillId="0" borderId="18" xfId="0" applyFont="1" applyBorder="1" applyAlignment="1">
      <alignment horizontal="left" vertical="top" wrapText="1" indent="1"/>
    </xf>
    <xf numFmtId="0" fontId="8" fillId="0" borderId="35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8" fillId="0" borderId="36" xfId="0" applyFont="1" applyBorder="1" applyAlignment="1">
      <alignment horizontal="left" vertical="top" wrapText="1" indent="1"/>
    </xf>
    <xf numFmtId="0" fontId="14" fillId="0" borderId="4" xfId="0" applyFont="1" applyBorder="1" applyAlignment="1">
      <alignment horizontal="left" vertical="top" wrapText="1" indent="1"/>
    </xf>
    <xf numFmtId="0" fontId="14" fillId="0" borderId="6" xfId="0" applyFont="1" applyBorder="1" applyAlignment="1">
      <alignment horizontal="left" vertical="top" wrapText="1" indent="1"/>
    </xf>
    <xf numFmtId="0" fontId="14" fillId="0" borderId="50" xfId="0" applyFont="1" applyBorder="1" applyAlignment="1">
      <alignment horizontal="left" vertical="top" wrapText="1" indent="1"/>
    </xf>
    <xf numFmtId="0" fontId="14" fillId="0" borderId="20" xfId="0" applyFont="1" applyBorder="1" applyAlignment="1">
      <alignment horizontal="left" vertical="top" wrapText="1" indent="1"/>
    </xf>
    <xf numFmtId="0" fontId="14" fillId="0" borderId="22" xfId="0" applyFont="1" applyBorder="1" applyAlignment="1">
      <alignment horizontal="left" vertical="top" indent="1"/>
    </xf>
    <xf numFmtId="0" fontId="14" fillId="0" borderId="66" xfId="0" applyFont="1" applyBorder="1" applyAlignment="1">
      <alignment horizontal="left" vertical="top" wrapText="1" indent="1"/>
    </xf>
    <xf numFmtId="0" fontId="14" fillId="0" borderId="69" xfId="0" applyFont="1" applyBorder="1" applyAlignment="1">
      <alignment horizontal="left" vertical="top" wrapText="1" indent="1"/>
    </xf>
    <xf numFmtId="0" fontId="8" fillId="0" borderId="45" xfId="0" applyFont="1" applyBorder="1" applyAlignment="1">
      <alignment horizontal="left" vertical="top" wrapText="1" indent="1"/>
    </xf>
    <xf numFmtId="0" fontId="8" fillId="0" borderId="46" xfId="0" applyFont="1" applyBorder="1" applyAlignment="1">
      <alignment horizontal="left" vertical="top" wrapText="1" indent="1"/>
    </xf>
    <xf numFmtId="0" fontId="8" fillId="0" borderId="29" xfId="0" applyFont="1" applyBorder="1" applyAlignment="1">
      <alignment horizontal="left" vertical="top" wrapText="1" indent="1"/>
    </xf>
    <xf numFmtId="0" fontId="8" fillId="0" borderId="30" xfId="0" applyFont="1" applyBorder="1" applyAlignment="1">
      <alignment horizontal="left" vertical="top" wrapText="1" indent="1"/>
    </xf>
    <xf numFmtId="0" fontId="8" fillId="0" borderId="31" xfId="0" applyFont="1" applyBorder="1" applyAlignment="1">
      <alignment horizontal="left" vertical="top" wrapText="1" indent="1"/>
    </xf>
    <xf numFmtId="0" fontId="8" fillId="0" borderId="50" xfId="0" applyFont="1" applyBorder="1" applyAlignment="1">
      <alignment horizontal="left" vertical="top" wrapText="1" indent="1"/>
    </xf>
    <xf numFmtId="0" fontId="8" fillId="0" borderId="57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 indent="1"/>
    </xf>
    <xf numFmtId="0" fontId="8" fillId="0" borderId="14" xfId="0" applyFont="1" applyBorder="1" applyAlignment="1">
      <alignment horizontal="left" vertical="top" wrapText="1" indent="1"/>
    </xf>
    <xf numFmtId="0" fontId="15" fillId="0" borderId="5" xfId="0" applyFont="1" applyBorder="1" applyAlignment="1">
      <alignment horizontal="left" vertical="top" wrapText="1" indent="1"/>
    </xf>
    <xf numFmtId="0" fontId="15" fillId="0" borderId="8" xfId="0" applyFont="1" applyBorder="1" applyAlignment="1">
      <alignment horizontal="left" vertical="top" wrapText="1" indent="1"/>
    </xf>
    <xf numFmtId="0" fontId="8" fillId="0" borderId="48" xfId="0" applyFont="1" applyBorder="1" applyAlignment="1">
      <alignment horizontal="left" vertical="top" wrapText="1" indent="1"/>
    </xf>
    <xf numFmtId="0" fontId="8" fillId="0" borderId="40" xfId="0" applyFont="1" applyBorder="1" applyAlignment="1">
      <alignment horizontal="left" vertical="top" wrapText="1" indent="1"/>
    </xf>
    <xf numFmtId="0" fontId="8" fillId="0" borderId="49" xfId="0" applyFont="1" applyBorder="1" applyAlignment="1">
      <alignment horizontal="left" vertical="top" wrapText="1" indent="1"/>
    </xf>
    <xf numFmtId="0" fontId="8" fillId="0" borderId="64" xfId="0" applyFont="1" applyBorder="1" applyAlignment="1">
      <alignment horizontal="left" vertical="top" wrapText="1" indent="1"/>
    </xf>
    <xf numFmtId="0" fontId="8" fillId="0" borderId="34" xfId="0" applyFont="1" applyBorder="1" applyAlignment="1">
      <alignment horizontal="left" vertical="top" wrapText="1" indent="1"/>
    </xf>
    <xf numFmtId="0" fontId="8" fillId="0" borderId="65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8" fillId="0" borderId="69" xfId="0" applyFont="1" applyBorder="1" applyAlignment="1">
      <alignment horizontal="left" vertical="top" wrapText="1" indent="1"/>
    </xf>
    <xf numFmtId="0" fontId="8" fillId="0" borderId="51" xfId="0" applyFont="1" applyBorder="1" applyAlignment="1">
      <alignment horizontal="left" vertical="top" wrapText="1" indent="1"/>
    </xf>
    <xf numFmtId="0" fontId="8" fillId="0" borderId="68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8" fillId="0" borderId="6" xfId="0" applyFont="1" applyBorder="1" applyAlignment="1">
      <alignment horizontal="left" vertical="top" wrapText="1" indent="1"/>
    </xf>
    <xf numFmtId="0" fontId="15" fillId="0" borderId="14" xfId="0" applyFont="1" applyBorder="1" applyAlignment="1">
      <alignment horizontal="left" vertical="top" wrapText="1" indent="1"/>
    </xf>
    <xf numFmtId="0" fontId="15" fillId="0" borderId="10" xfId="0" applyFont="1" applyBorder="1" applyAlignment="1">
      <alignment horizontal="left" vertical="top" wrapText="1" indent="1"/>
    </xf>
    <xf numFmtId="0" fontId="8" fillId="0" borderId="2" xfId="0" applyFont="1" applyBorder="1" applyAlignment="1">
      <alignment horizontal="left" vertical="top" wrapText="1" indent="1"/>
    </xf>
    <xf numFmtId="0" fontId="8" fillId="0" borderId="3" xfId="0" applyFont="1" applyBorder="1" applyAlignment="1">
      <alignment horizontal="left" vertical="top" wrapText="1" indent="1"/>
    </xf>
    <xf numFmtId="0" fontId="8" fillId="0" borderId="37" xfId="0" applyFont="1" applyBorder="1" applyAlignment="1">
      <alignment horizontal="left" vertical="top" wrapText="1" indent="1"/>
    </xf>
    <xf numFmtId="0" fontId="8" fillId="0" borderId="38" xfId="0" applyFont="1" applyBorder="1" applyAlignment="1">
      <alignment horizontal="left" vertical="top" wrapText="1" indent="1"/>
    </xf>
    <xf numFmtId="0" fontId="8" fillId="0" borderId="39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8" fillId="0" borderId="32" xfId="0" applyFont="1" applyBorder="1" applyAlignment="1">
      <alignment horizontal="left" vertical="top" wrapText="1" indent="1"/>
    </xf>
    <xf numFmtId="0" fontId="8" fillId="0" borderId="33" xfId="0" applyFont="1" applyBorder="1" applyAlignment="1">
      <alignment horizontal="left" vertical="top" wrapText="1" indent="1"/>
    </xf>
    <xf numFmtId="0" fontId="8" fillId="0" borderId="20" xfId="0" applyFont="1" applyBorder="1" applyAlignment="1">
      <alignment horizontal="left" vertical="top" wrapText="1" indent="1"/>
    </xf>
    <xf numFmtId="0" fontId="8" fillId="0" borderId="21" xfId="0" applyFont="1" applyBorder="1" applyAlignment="1">
      <alignment horizontal="left" vertical="top" wrapText="1" indent="1"/>
    </xf>
    <xf numFmtId="0" fontId="8" fillId="0" borderId="35" xfId="0" applyFont="1" applyBorder="1" applyAlignment="1">
      <alignment horizontal="left" vertical="top" indent="1"/>
    </xf>
    <xf numFmtId="0" fontId="8" fillId="0" borderId="9" xfId="0" applyFont="1" applyBorder="1" applyAlignment="1">
      <alignment horizontal="left" vertical="top" indent="1"/>
    </xf>
    <xf numFmtId="0" fontId="8" fillId="0" borderId="36" xfId="0" applyFont="1" applyBorder="1" applyAlignment="1">
      <alignment horizontal="left" vertical="top" indent="1"/>
    </xf>
    <xf numFmtId="0" fontId="8" fillId="0" borderId="19" xfId="0" applyFont="1" applyBorder="1" applyAlignment="1">
      <alignment horizontal="left" vertical="top" wrapText="1" indent="1"/>
    </xf>
    <xf numFmtId="0" fontId="8" fillId="0" borderId="59" xfId="0" applyFont="1" applyBorder="1" applyAlignment="1">
      <alignment vertical="top"/>
    </xf>
    <xf numFmtId="0" fontId="8" fillId="0" borderId="61" xfId="0" applyFont="1" applyBorder="1" applyAlignment="1">
      <alignment vertical="top"/>
    </xf>
  </cellXfs>
  <cellStyles count="6">
    <cellStyle name="Hyperlink" xfId="4" builtinId="8"/>
    <cellStyle name="Hyperlink 2" xfId="2" xr:uid="{AFFDF3E7-4F08-4C38-BAE5-38C125C3312F}"/>
    <cellStyle name="Normal" xfId="0" builtinId="0"/>
    <cellStyle name="Normal 2" xfId="1" xr:uid="{9BEFD28B-4501-4C89-9382-A287E142749E}"/>
    <cellStyle name="Normal 3" xfId="3" xr:uid="{06FDF70E-1DFB-4813-8FFF-1A33E124EB04}"/>
    <cellStyle name="Percent" xfId="5" builtinId="5"/>
  </cellStyles>
  <dxfs count="0"/>
  <tableStyles count="0" defaultTableStyle="TableStyleMedium2" defaultPivotStyle="PivotStyleLight16"/>
  <colors>
    <mruColors>
      <color rgb="FF00FFCC"/>
      <color rgb="FFFFFF00"/>
      <color rgb="FFFF33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7038975</xdr:colOff>
      <xdr:row>0</xdr:row>
      <xdr:rowOff>161925</xdr:rowOff>
    </xdr:from>
    <xdr:to>
      <xdr:col>1</xdr:col>
      <xdr:colOff>16155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14CDD-8E09-45C6-8558-EB94C593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161925"/>
          <a:ext cx="249075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219075</xdr:colOff>
      <xdr:row>1</xdr:row>
      <xdr:rowOff>252412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B9E9FA-9CF1-4E40-851B-D8D78C4860EC}"/>
            </a:ext>
          </a:extLst>
        </xdr:cNvPr>
        <xdr:cNvSpPr txBox="1"/>
      </xdr:nvSpPr>
      <xdr:spPr>
        <a:xfrm>
          <a:off x="17202150" y="44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ymchwil@celf.cymru" TargetMode="External"/><Relationship Id="rId2" Type="http://schemas.openxmlformats.org/officeDocument/2006/relationships/hyperlink" Target="https://arts.wales/cy/resources/arts-portfolio-wales-survey-general-guide" TargetMode="External"/><Relationship Id="rId1" Type="http://schemas.openxmlformats.org/officeDocument/2006/relationships/hyperlink" Target="https://arts.wales/cy/amdanom-ni/ymchwil/arolwg-portffolio-celfyddydol-cym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rts.wales/cy/resources/arts-portfolio-wales-survey-general-gui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21F0-9BCD-4289-853C-E9590784052C}">
  <sheetPr>
    <tabColor theme="0"/>
  </sheetPr>
  <dimension ref="A1:O1366"/>
  <sheetViews>
    <sheetView tabSelected="1" topLeftCell="A566" zoomScaleNormal="100" workbookViewId="0">
      <selection activeCell="C578" sqref="C578"/>
    </sheetView>
  </sheetViews>
  <sheetFormatPr defaultColWidth="8.81640625" defaultRowHeight="14.5"/>
  <cols>
    <col min="1" max="1" width="51.90625" style="79" customWidth="1"/>
    <col min="2" max="2" width="46.1796875" style="79" customWidth="1"/>
    <col min="3" max="3" width="41.6328125" style="79" customWidth="1"/>
    <col min="4" max="10" width="8.81640625" style="79"/>
    <col min="11" max="11" width="8.81640625" style="80"/>
    <col min="12" max="14" width="8.81640625" style="161"/>
    <col min="15" max="15" width="8.81640625" style="80"/>
    <col min="16" max="16384" width="8.81640625" style="79"/>
  </cols>
  <sheetData>
    <row r="1" spans="1:13" ht="16.5" thickBot="1">
      <c r="A1" s="171" t="s">
        <v>991</v>
      </c>
      <c r="D1" s="14"/>
      <c r="E1" s="14"/>
      <c r="F1" s="14"/>
      <c r="G1" s="14"/>
      <c r="H1" s="14"/>
      <c r="I1" s="14"/>
      <c r="J1" s="14"/>
      <c r="K1" s="100"/>
      <c r="L1" s="102"/>
      <c r="M1" s="102"/>
    </row>
    <row r="2" spans="1:13" ht="15" thickBot="1">
      <c r="A2" s="81" t="s">
        <v>498</v>
      </c>
      <c r="B2" s="172" t="s">
        <v>987</v>
      </c>
      <c r="C2" s="173"/>
      <c r="D2" s="14"/>
      <c r="E2" s="14"/>
      <c r="F2" s="14"/>
      <c r="G2" s="14"/>
      <c r="H2" s="14"/>
      <c r="I2" s="14"/>
      <c r="J2" s="14"/>
      <c r="K2" s="100"/>
      <c r="L2" s="102"/>
      <c r="M2" s="102"/>
    </row>
    <row r="3" spans="1:13" ht="16.5" thickBot="1">
      <c r="A3" s="82"/>
      <c r="B3" s="83" t="s">
        <v>499</v>
      </c>
      <c r="C3" s="84" t="s">
        <v>500</v>
      </c>
      <c r="D3" s="14"/>
      <c r="E3" s="14"/>
      <c r="F3" s="14"/>
      <c r="G3" s="14"/>
      <c r="H3" s="14"/>
      <c r="I3" s="14"/>
      <c r="J3" s="14"/>
      <c r="K3" s="100"/>
      <c r="L3" s="102"/>
      <c r="M3" s="102"/>
    </row>
    <row r="4" spans="1:13" ht="15" thickBot="1">
      <c r="A4" s="85" t="s">
        <v>5</v>
      </c>
      <c r="B4" s="86">
        <f>SUM($C$43,$C$45,$C$47,$C$49,$C$51,$C$53,$C$55,$C$57,$C$59,$C$61,$C$63,$C$65,$C$67,$C$69,$C$71,$C$73,$C$75,$C$77)</f>
        <v>0</v>
      </c>
      <c r="C4" s="86">
        <f ca="1">SUM($C$44,$C$46,$C$48,$C$50,$C$52,$C$54,$C$56,$C$58,$C$60,$C$62,$C$64,$C$66,$C$68,$C$70,$C$72,$C$74,$C$76,$C$78)</f>
        <v>0</v>
      </c>
      <c r="D4" s="14"/>
      <c r="E4" s="14"/>
      <c r="F4" s="14"/>
      <c r="G4" s="14"/>
      <c r="H4" s="14"/>
      <c r="I4" s="14"/>
      <c r="J4" s="14"/>
      <c r="K4" s="100"/>
      <c r="L4" s="102"/>
      <c r="M4" s="102"/>
    </row>
    <row r="5" spans="1:13" ht="15" thickBot="1">
      <c r="A5" s="83" t="s">
        <v>501</v>
      </c>
      <c r="B5" s="86">
        <f>SUM($C$738,$C$740,$C$742,$C$744,$C$746,$C$748)</f>
        <v>0</v>
      </c>
      <c r="C5" s="86">
        <f>SUM($C$739,$C$741,$C$743,$C$745,$C$747,$C$749)</f>
        <v>0</v>
      </c>
      <c r="D5" s="14"/>
      <c r="E5" s="14"/>
      <c r="F5" s="14"/>
      <c r="G5" s="14"/>
      <c r="H5" s="14"/>
      <c r="I5" s="14"/>
      <c r="J5" s="14"/>
      <c r="K5" s="100"/>
      <c r="L5" s="102"/>
      <c r="M5" s="102"/>
    </row>
    <row r="6" spans="1:13" ht="15" thickBot="1">
      <c r="A6" s="83" t="s">
        <v>502</v>
      </c>
      <c r="B6" s="86">
        <f>SUM($C$641,$C$643,$C$645,$C$647,$C$649,$C$651,$C$653,$C$655,$C$657,$C$659,$C$661,$C$663,$C$665,$C$667,$C$669,$C$671,$C$673,$C$675,$C$677,$C$679,$C$681,$C$683,$C$685,$C$687,$C$689,$C$691,$C$693,$C$695,$C$697,$C$699)</f>
        <v>0</v>
      </c>
      <c r="C6" s="86">
        <f>SUM($C$642,$C$644,$C$646,$C$648,$C$650,$C$652,$C$654,$C$656,$C$658,$C$660,$C$662,$C$664,$C$666,$C$668,$C$670,$C$672,$C$674,$C$676,$C$678,$C$680,$C$682,$C$684,$C$686,$C$688,$C$690,$C$692,$C$694,$C$696,$C$698,$C$700)</f>
        <v>0</v>
      </c>
      <c r="D6" s="14"/>
      <c r="E6" s="14"/>
      <c r="F6" s="14"/>
      <c r="G6" s="14"/>
      <c r="H6" s="14"/>
      <c r="I6" s="14"/>
      <c r="J6" s="14"/>
      <c r="K6" s="100"/>
      <c r="L6" s="102"/>
      <c r="M6" s="102"/>
    </row>
    <row r="7" spans="1:13" ht="15" thickBot="1">
      <c r="A7" s="87" t="s">
        <v>503</v>
      </c>
      <c r="B7" s="88">
        <f>SUM($C$947,$C$950,$C$953,$C$956,$C$959,$C$962,$C$965,$C$968,$C$971,$C$974,$C$977,$C$980,$C$983,$C$986,$C$989,$C$992,$C$995,$C$998,$C$1001,$C$1004,$C$1007,$C$1010,$C$1013,$C$1016,$C$1019,$C$1022,$C$1025,$C$1028,$C$1031,$C$1034,$C$1037,$C$1040,$C$1043,$C$1046,$C$1049,$C$1052,$C$1055,$C$1058,$C$1061,$C$1064,$C$1067,$C$1070,$C$1073,$C$1076,$C$1079,$C$1082,$C$1085,$C$1088,$C$1091,$C$1094,$C$1097,$C$1100,$C$1103,$C$1106,$C$1109,$C$1112,$C$1115,$C$1118,$C$1121,$C$1124,$C$1127,$C$1130,$C$1133,$C$1136,$C$1139,$C$1142,$C$1145,$C$1148,$C$1151,$C$1154,$C$1157,$C$1160,$C$1163,$C$1166,$C$1169,$C$1172,$C$1175,$C$1178,$C$1181,$C$1184,$C$1187,$C$1190,$C$1193,$C$1196,$C$1199,$C$1202)</f>
        <v>0</v>
      </c>
      <c r="C7" s="88">
        <f>SUM($C$948,$C$951,$C$954,$C$957,$C$960,$C$963,$C$966,$C$969,$C$972,$C$975,$C$978,$C$981,$C$984,$C$987,$C$990,$C$993,$C$996,$C$999,$C$1002,$C$1005,$C$1008,$C$1011,$C$1014,$C$1017,$C$1020,$C$1023,$C$1026,$C$1029,$C$1032,$C$1035,$C$1038,$C$1041,$C$1044,$C$1047,$C$1050,$C$1053,$C$1056,$C$1059,$C$1062,$C$1065,$C$1068,$C$1071,$C$1074,$C$1077,$C$1080,$C$1083,$C$1086,$C$1089,$C$1092,$C$1095,$C$1098,$C$1101,$C$1104,$C$1107,$C$1110,$C$1113,$C$1116,$C$1119,$C$1122,$C$1125,$C$1128,$C$1131,$C$1134,$C$1137,$C$1140,$C$1143,$C$1146,$C$1149,$C$1152,$C$1155,$C$1158,$C$1161,$C$1164,$C$1167,$C$1170,$C$1173,$C$1176,$C$1179,$C$1182,$C$1185,$C$1188,$C$1191,$C$1194,$C$1197,$C$1200,$C$1203)</f>
        <v>0</v>
      </c>
      <c r="D7" s="14"/>
      <c r="E7" s="14"/>
      <c r="F7" s="14"/>
      <c r="G7" s="14"/>
      <c r="H7" s="14"/>
      <c r="I7" s="14"/>
      <c r="J7" s="14"/>
      <c r="K7" s="100"/>
      <c r="L7" s="102"/>
      <c r="M7" s="102"/>
    </row>
    <row r="8" spans="1:13" ht="15.5" thickTop="1" thickBot="1">
      <c r="A8" s="83" t="s">
        <v>504</v>
      </c>
      <c r="B8" s="89">
        <f>SUM(B4:B7)</f>
        <v>0</v>
      </c>
      <c r="C8" s="89">
        <f ca="1">SUM(C4:C7)</f>
        <v>0</v>
      </c>
      <c r="D8" s="14"/>
      <c r="E8" s="14"/>
      <c r="F8" s="14"/>
      <c r="G8" s="14"/>
      <c r="H8" s="14"/>
      <c r="I8" s="14"/>
      <c r="J8" s="14"/>
      <c r="K8" s="100"/>
      <c r="L8" s="102"/>
      <c r="M8" s="102"/>
    </row>
    <row r="9" spans="1:13" ht="16.5" thickBot="1">
      <c r="A9" s="90"/>
      <c r="B9" s="90"/>
      <c r="C9" s="90"/>
      <c r="D9" s="14"/>
      <c r="E9" s="14"/>
      <c r="F9" s="14"/>
      <c r="G9" s="14"/>
      <c r="H9" s="14"/>
      <c r="I9" s="14"/>
      <c r="J9" s="14"/>
      <c r="K9" s="100"/>
      <c r="L9" s="102"/>
      <c r="M9" s="102"/>
    </row>
    <row r="10" spans="1:13" ht="15" thickBot="1">
      <c r="A10" s="81" t="s">
        <v>505</v>
      </c>
      <c r="B10" s="172" t="s">
        <v>987</v>
      </c>
      <c r="C10" s="173"/>
      <c r="D10" s="14"/>
      <c r="E10" s="14"/>
      <c r="F10" s="14"/>
      <c r="G10" s="14"/>
      <c r="H10" s="14"/>
      <c r="I10" s="14"/>
      <c r="J10" s="14"/>
      <c r="K10" s="100"/>
      <c r="L10" s="102"/>
      <c r="M10" s="102"/>
    </row>
    <row r="11" spans="1:13" ht="16.5" thickBot="1">
      <c r="A11" s="82"/>
      <c r="B11" s="83" t="s">
        <v>506</v>
      </c>
      <c r="C11" s="84" t="s">
        <v>507</v>
      </c>
      <c r="D11" s="14"/>
      <c r="E11" s="14"/>
      <c r="F11" s="14"/>
      <c r="G11" s="14"/>
      <c r="H11" s="14"/>
      <c r="I11" s="14"/>
      <c r="J11" s="14"/>
      <c r="K11" s="100"/>
      <c r="L11" s="102"/>
      <c r="M11" s="102"/>
    </row>
    <row r="12" spans="1:13" ht="15" thickBot="1">
      <c r="A12" s="85" t="s">
        <v>90</v>
      </c>
      <c r="B12" s="86">
        <f>SUM($C$138,$C$140,$C$142,$C$144,$C$146,$C148,$C$150,$C$152,$C$154,$C$156,$C$158,$C$160,$C162,$C$164,$C$166,$C$168,$C$170,$C$172,$C$174,$C$176,$C$178,$C$180,$C$182,$C$184,$C$186,$C$188,$C$190,$C$192,$C$194,$C$196,$C$198,$C$200,$C$202,$C$204,$C$206,$C$208,$C$210,$C$212,$C$214,$C$216,$C$218,$C$220,$C$222,$C$224,$C$226,$C$228,$C$230,$C$232,$C$234,$C$236,$C$238,$C$240,$C$242,$C$244,$C$246,$C$248,$C$250,$C$252,$C$254,$C$256,$C$262,$C$264,$C$266,$C$268,$C$270,$C$272,$C$274,$C$276,$C$278,$C$280,$C$282,$C$284,$C$286,$C$288,$C$290,$C$292,$C$294,$C$296,$C$298,$C$300,$C$302,$C$304,$C$306,$C$308,$C$310,$C$312,$C$314,$C$316,$C$318,$C$320,$C$322,$C$324,$C$326,$C$328,$C$330,$C$332,$C$334,$C$336,$C$338,$C$340,$C$342,$C$344,$C$346,$C$348,$C350,$C352,$C$354,$C$356,$C$358,$C$360,$C$362,$C364,$C366,$C368,$C370,$C$372,$C$374,$C376,$C$378,$C$380,$C$387,$C389,$C$391,$C$393,$C$395,$C$397,$C$399,$C$401,$C$403,$C$405,$C$407,$C$409,$C$411,$C$413,$C$415,$C$417,$C$419,$C$421,$C$423,$C$425)</f>
        <v>0</v>
      </c>
      <c r="C12" s="86">
        <f>SUM($C$139,$C$141,$C$143,$C$145,$C$147,$C149,$C$151,$C$153,$C$155,$C$157,$C$159,$C$161,$C163,$C$165,$C$167,$C$169,$C$171,$C$173,$C$175,$C$177,$C$179,$C$181,$C$183,$C$185,$C$187,$C$189,$C$191,$C$193,$C$195,$C$197,$C$199,$C$201,$C$203,$C$205,$C$207,$C$209,$C$211,$C$213,$C$215,$C$217,$C$219,$C$221,$C$223,$C$225,$C$227,$C$229,$C$231,$C$233,$C$235,$C$237,$C$239,$C$241,$C$243,$C$245,$C$247,$C$249,$C$251,$C$253,$C$255,$C$257,$C$263,$C$265,$C$267,$C$269,$C$271,$C$273,$C$275,$C$277,$C$279,$C$281,$C$283,$C$285,$C$287,$C$289,$C$291,$C$293,$C$295,$C$297,$C$299,$C$301,$C$303,$C$305,$C$307,$C$309,$C$311,$C$313,$C$315,$C$317,$C$319,$C$321,$C$323,$C$325,$C$327,$C$329,$C$331,$C$333,$C$335,$C$337,$C$339,$C$341,$C$343,$C$345,$C$347,$C$349,$C351,$C353,$C$355,$C$357,$C$359,$C$361,$C$363,$C365,$C367,$C369,$C371,$C$373,$C$375,$C377,$C$379,$C$381,$C$388,$C390,$C$392,$C$394,$C$396,$C$398,$C$400,$C$402,$C$404,$C$406,$C$408,$C$410,$C$412,$C$414,$C$416,$C$418,$C$420,$C$422,$C$424,$C$426)</f>
        <v>0</v>
      </c>
      <c r="D12" s="14"/>
      <c r="E12" s="14"/>
      <c r="F12" s="14"/>
      <c r="G12" s="14"/>
      <c r="H12" s="14"/>
      <c r="I12" s="14"/>
      <c r="J12" s="14"/>
      <c r="K12" s="100"/>
      <c r="L12" s="102"/>
      <c r="M12" s="102"/>
    </row>
    <row r="13" spans="1:13" ht="15" thickBot="1">
      <c r="A13" s="87" t="s">
        <v>508</v>
      </c>
      <c r="B13" s="91">
        <f>SUM($C$458,$C$460,$C$444,$C$462,$C$464,$C$466,$C$468,$C$470,$C$472,$C$474,$C$476,$C$478,$C$480,$C$482,$C$484,$C$486,$C$488,$C$490,$C$492,$C$494,$C$496,$C$498,$C$500,$C$502,$C$504,$C$506,$C$508,$C$510,$C$512,$C$514,$C$516,$C$518,$C$520,$C$522,$C$524,$C$526,$C$528,$C$530,$C$532,$C$534,$C$536,$C$538,$C$540,$C$542,$C$544,$C$546,$C$548,$C$550,$C$552,$C$554,$C$556,$C$558,$C$560,$C$562,$C$564,$C$566,$C$568,$C$570,$C$572,$C$574,$C$576)</f>
        <v>0</v>
      </c>
      <c r="C13" s="91">
        <f>SUM($C$459,$C$461,$C$463,$C$465,$C$467,$C$469,$C$471,$C$473,$C$475,$C$477,$C$479,$C$481,$C$483,$C$485,$C$487,$C$489,$C$491,$C$493,$C$495,$C$497,$C$499,$C$501,$C$503,$C$505,$C$507,$C$509,$C$511,$C$513,$C$515,$C$517,$C$519,$C$521,$C$523,$C$525,$C$527,$C$529,$C$531,$C$533,$C$535,$C$537,$C$539,$C$541,$C$543,$C$545,$C$547,$C$549,$C$551,$C$553,$C$555,$C$557,$C$559,$C$561,$C$563,$C$565,$C$567,$C$569,$C$571,$C$573,$C$575,$C$577)</f>
        <v>0</v>
      </c>
      <c r="D13" s="14"/>
      <c r="E13" s="14"/>
      <c r="F13" s="14"/>
      <c r="G13" s="14"/>
      <c r="H13" s="14"/>
      <c r="I13" s="14"/>
      <c r="J13" s="14"/>
      <c r="K13" s="100"/>
      <c r="L13" s="102"/>
      <c r="M13" s="102"/>
    </row>
    <row r="14" spans="1:13" ht="15.5" thickTop="1" thickBot="1">
      <c r="A14" s="83" t="s">
        <v>509</v>
      </c>
      <c r="B14" s="89">
        <f>SUM(B12:B13)</f>
        <v>0</v>
      </c>
      <c r="C14" s="89">
        <f>SUM(C12:C13)</f>
        <v>0</v>
      </c>
      <c r="D14" s="14"/>
      <c r="E14" s="14"/>
      <c r="F14" s="14"/>
      <c r="G14" s="14"/>
      <c r="H14" s="14"/>
      <c r="I14" s="14"/>
      <c r="J14" s="14"/>
      <c r="K14" s="100"/>
      <c r="L14" s="102"/>
      <c r="M14" s="102"/>
    </row>
    <row r="15" spans="1:13" ht="16">
      <c r="A15" s="90"/>
      <c r="B15" s="90"/>
      <c r="C15" s="90"/>
      <c r="D15" s="14"/>
      <c r="E15" s="14"/>
      <c r="F15" s="14"/>
      <c r="G15" s="14"/>
      <c r="H15" s="14"/>
      <c r="I15" s="14"/>
      <c r="J15" s="14"/>
      <c r="K15" s="100"/>
      <c r="L15" s="102"/>
      <c r="M15" s="102"/>
    </row>
    <row r="16" spans="1:13" ht="16">
      <c r="A16" s="82"/>
      <c r="B16" s="90"/>
      <c r="C16" s="92" t="s">
        <v>510</v>
      </c>
      <c r="D16" s="14"/>
      <c r="E16" s="14"/>
      <c r="F16" s="14"/>
      <c r="G16" s="14"/>
      <c r="H16" s="14"/>
      <c r="I16" s="14"/>
      <c r="J16" s="14"/>
      <c r="K16" s="100"/>
      <c r="L16" s="102"/>
      <c r="M16" s="102"/>
    </row>
    <row r="17" spans="1:14" ht="16">
      <c r="A17" s="174" t="s">
        <v>511</v>
      </c>
      <c r="B17" s="74" t="s">
        <v>512</v>
      </c>
      <c r="C17" s="93">
        <f>L17</f>
        <v>0</v>
      </c>
      <c r="D17" s="14"/>
      <c r="E17" s="14"/>
      <c r="F17" s="14"/>
      <c r="G17" s="14"/>
      <c r="H17" s="14"/>
      <c r="I17" s="14"/>
      <c r="J17" s="14"/>
      <c r="K17" s="100"/>
      <c r="L17" s="162">
        <f t="shared" ref="L17:L28" si="0">IF(M17="ok",1,0)</f>
        <v>0</v>
      </c>
      <c r="M17" s="162" t="str">
        <f>IF(AND(N17&gt;=0.1),"ok",IF(AND(N17=0),"wrong"))</f>
        <v>wrong</v>
      </c>
      <c r="N17" s="163">
        <f>SUM(C32:C32)</f>
        <v>0</v>
      </c>
    </row>
    <row r="18" spans="1:14" ht="16">
      <c r="A18" s="174"/>
      <c r="B18" s="74" t="s">
        <v>5</v>
      </c>
      <c r="C18" s="93">
        <f ca="1">L18</f>
        <v>0</v>
      </c>
      <c r="D18" s="14"/>
      <c r="E18" s="14"/>
      <c r="F18" s="14"/>
      <c r="G18" s="14"/>
      <c r="H18" s="14"/>
      <c r="I18" s="14"/>
      <c r="J18" s="14"/>
      <c r="K18" s="100"/>
      <c r="L18" s="162">
        <f t="shared" ca="1" si="0"/>
        <v>0</v>
      </c>
      <c r="M18" s="162" t="str">
        <f t="shared" ref="M18:M29" ca="1" si="1">IF(AND(N18&gt;=0.1),"ok",IF(AND(N18=0),"wrong"))</f>
        <v>wrong</v>
      </c>
      <c r="N18" s="163">
        <f ca="1">SUM(C34:C124)</f>
        <v>0</v>
      </c>
    </row>
    <row r="19" spans="1:14" ht="16">
      <c r="A19" s="174"/>
      <c r="B19" s="74" t="s">
        <v>513</v>
      </c>
      <c r="C19" s="93">
        <f t="shared" ref="C19:C28" si="2">L19</f>
        <v>0</v>
      </c>
      <c r="D19" s="14"/>
      <c r="E19" s="14"/>
      <c r="F19" s="14"/>
      <c r="G19" s="14"/>
      <c r="H19" s="14"/>
      <c r="I19" s="14"/>
      <c r="J19" s="14"/>
      <c r="K19" s="100"/>
      <c r="L19" s="162">
        <f t="shared" si="0"/>
        <v>0</v>
      </c>
      <c r="M19" s="162" t="str">
        <f t="shared" si="1"/>
        <v>wrong</v>
      </c>
      <c r="N19" s="163">
        <f>SUM(C126:C443)</f>
        <v>0</v>
      </c>
    </row>
    <row r="20" spans="1:14" ht="16">
      <c r="A20" s="174"/>
      <c r="B20" s="74" t="s">
        <v>514</v>
      </c>
      <c r="C20" s="93">
        <f t="shared" si="2"/>
        <v>0</v>
      </c>
      <c r="D20" s="14"/>
      <c r="E20" s="14"/>
      <c r="F20" s="14"/>
      <c r="G20" s="14"/>
      <c r="H20" s="14"/>
      <c r="I20" s="14"/>
      <c r="J20" s="14"/>
      <c r="K20" s="100"/>
      <c r="L20" s="162">
        <f t="shared" si="0"/>
        <v>0</v>
      </c>
      <c r="M20" s="162" t="str">
        <f t="shared" si="1"/>
        <v>wrong</v>
      </c>
      <c r="N20" s="163">
        <f>SUM(C445:C603)</f>
        <v>0</v>
      </c>
    </row>
    <row r="21" spans="1:14" ht="16">
      <c r="A21" s="174"/>
      <c r="B21" s="74" t="s">
        <v>515</v>
      </c>
      <c r="C21" s="93">
        <f t="shared" ca="1" si="2"/>
        <v>0</v>
      </c>
      <c r="D21" s="14"/>
      <c r="E21" s="14"/>
      <c r="F21" s="14"/>
      <c r="G21" s="14"/>
      <c r="H21" s="14"/>
      <c r="I21" s="14"/>
      <c r="J21" s="14"/>
      <c r="K21" s="100"/>
      <c r="L21" s="162">
        <f t="shared" ca="1" si="0"/>
        <v>0</v>
      </c>
      <c r="M21" s="162" t="str">
        <f t="shared" ca="1" si="1"/>
        <v>wrong</v>
      </c>
      <c r="N21" s="163">
        <f ca="1">SUM(C605:C731)</f>
        <v>0</v>
      </c>
    </row>
    <row r="22" spans="1:14" ht="16">
      <c r="A22" s="174"/>
      <c r="B22" s="74" t="s">
        <v>10</v>
      </c>
      <c r="C22" s="93">
        <f t="shared" si="2"/>
        <v>0</v>
      </c>
      <c r="D22" s="14"/>
      <c r="E22" s="14"/>
      <c r="F22" s="14"/>
      <c r="G22" s="14"/>
      <c r="H22" s="14"/>
      <c r="I22" s="14"/>
      <c r="J22" s="14"/>
      <c r="K22" s="100"/>
      <c r="L22" s="162">
        <f t="shared" si="0"/>
        <v>0</v>
      </c>
      <c r="M22" s="162" t="str">
        <f t="shared" si="1"/>
        <v>wrong</v>
      </c>
      <c r="N22" s="163">
        <f>SUM(C733:C769)</f>
        <v>0</v>
      </c>
    </row>
    <row r="23" spans="1:14" ht="16">
      <c r="A23" s="174"/>
      <c r="B23" s="74" t="s">
        <v>516</v>
      </c>
      <c r="C23" s="93">
        <f t="shared" si="2"/>
        <v>0</v>
      </c>
      <c r="D23" s="14"/>
      <c r="E23" s="14"/>
      <c r="F23" s="14"/>
      <c r="G23" s="14"/>
      <c r="H23" s="14"/>
      <c r="I23" s="14"/>
      <c r="J23" s="14"/>
      <c r="K23" s="100"/>
      <c r="L23" s="162">
        <f t="shared" si="0"/>
        <v>0</v>
      </c>
      <c r="M23" s="162" t="str">
        <f t="shared" si="1"/>
        <v>wrong</v>
      </c>
      <c r="N23" s="163">
        <f>SUM(C771:C839)</f>
        <v>0</v>
      </c>
    </row>
    <row r="24" spans="1:14" ht="16">
      <c r="A24" s="174"/>
      <c r="B24" s="74" t="s">
        <v>517</v>
      </c>
      <c r="C24" s="93">
        <f t="shared" si="2"/>
        <v>0</v>
      </c>
      <c r="D24" s="14"/>
      <c r="E24" s="14"/>
      <c r="F24" s="14"/>
      <c r="G24" s="14"/>
      <c r="H24" s="14"/>
      <c r="I24" s="14"/>
      <c r="J24" s="14"/>
      <c r="K24" s="100"/>
      <c r="L24" s="162">
        <f t="shared" si="0"/>
        <v>0</v>
      </c>
      <c r="M24" s="162" t="str">
        <f t="shared" si="1"/>
        <v>wrong</v>
      </c>
      <c r="N24" s="163">
        <f>SUM(C841:C936)</f>
        <v>0</v>
      </c>
    </row>
    <row r="25" spans="1:14" ht="16">
      <c r="A25" s="174"/>
      <c r="B25" s="74" t="s">
        <v>518</v>
      </c>
      <c r="C25" s="93">
        <f t="shared" si="2"/>
        <v>0</v>
      </c>
      <c r="D25" s="14"/>
      <c r="E25" s="14"/>
      <c r="F25" s="14"/>
      <c r="G25" s="14"/>
      <c r="H25" s="14"/>
      <c r="I25" s="14"/>
      <c r="J25" s="14"/>
      <c r="K25" s="100"/>
      <c r="L25" s="162">
        <f t="shared" si="0"/>
        <v>0</v>
      </c>
      <c r="M25" s="162" t="str">
        <f t="shared" si="1"/>
        <v>wrong</v>
      </c>
      <c r="N25" s="163">
        <f>SUM(C938:C1241)</f>
        <v>0</v>
      </c>
    </row>
    <row r="26" spans="1:14" ht="16">
      <c r="A26" s="174"/>
      <c r="B26" s="74" t="s">
        <v>519</v>
      </c>
      <c r="C26" s="93">
        <f t="shared" si="2"/>
        <v>0</v>
      </c>
      <c r="D26" s="14"/>
      <c r="E26" s="14"/>
      <c r="F26" s="14"/>
      <c r="G26" s="14"/>
      <c r="H26" s="14"/>
      <c r="I26" s="14"/>
      <c r="J26" s="14"/>
      <c r="K26" s="100"/>
      <c r="L26" s="162">
        <f t="shared" si="0"/>
        <v>0</v>
      </c>
      <c r="M26" s="162" t="str">
        <f t="shared" si="1"/>
        <v>wrong</v>
      </c>
      <c r="N26" s="163">
        <f>SUM(C1243:C1317)</f>
        <v>0</v>
      </c>
    </row>
    <row r="27" spans="1:14" ht="16">
      <c r="A27" s="174"/>
      <c r="B27" s="74" t="s">
        <v>520</v>
      </c>
      <c r="C27" s="93">
        <f t="shared" si="2"/>
        <v>0</v>
      </c>
      <c r="D27" s="14"/>
      <c r="E27" s="14"/>
      <c r="F27" s="14"/>
      <c r="G27" s="14"/>
      <c r="H27" s="14"/>
      <c r="I27" s="14"/>
      <c r="J27" s="14"/>
      <c r="K27" s="100"/>
      <c r="L27" s="162">
        <f t="shared" si="0"/>
        <v>0</v>
      </c>
      <c r="M27" s="162" t="str">
        <f t="shared" si="1"/>
        <v>wrong</v>
      </c>
      <c r="N27" s="163">
        <f>SUM(C1319:C1329)</f>
        <v>0</v>
      </c>
    </row>
    <row r="28" spans="1:14" ht="16">
      <c r="A28" s="174"/>
      <c r="B28" s="74" t="s">
        <v>521</v>
      </c>
      <c r="C28" s="93">
        <f t="shared" si="2"/>
        <v>0</v>
      </c>
      <c r="D28" s="14"/>
      <c r="E28" s="14"/>
      <c r="F28" s="14"/>
      <c r="G28" s="14"/>
      <c r="H28" s="14"/>
      <c r="I28" s="14"/>
      <c r="J28" s="14"/>
      <c r="K28" s="100"/>
      <c r="L28" s="162">
        <f t="shared" si="0"/>
        <v>0</v>
      </c>
      <c r="M28" s="162" t="str">
        <f t="shared" si="1"/>
        <v>wrong</v>
      </c>
      <c r="N28" s="163">
        <f>SUM(C1331:C1358)</f>
        <v>0</v>
      </c>
    </row>
    <row r="29" spans="1:14" ht="16">
      <c r="A29" s="174"/>
      <c r="B29" s="74" t="s">
        <v>522</v>
      </c>
      <c r="C29" s="93">
        <f>L29</f>
        <v>0</v>
      </c>
      <c r="D29" s="14"/>
      <c r="E29" s="14"/>
      <c r="F29" s="14"/>
      <c r="G29" s="14"/>
      <c r="H29" s="14"/>
      <c r="I29" s="14"/>
      <c r="J29" s="14"/>
      <c r="K29" s="100"/>
      <c r="L29" s="162">
        <f>IF(M29="ok",1,0)</f>
        <v>0</v>
      </c>
      <c r="M29" s="162" t="str">
        <f t="shared" si="1"/>
        <v>wrong</v>
      </c>
      <c r="N29" s="163">
        <f>SUM(C1360:C1365)</f>
        <v>0</v>
      </c>
    </row>
    <row r="30" spans="1:14" ht="16">
      <c r="A30" s="90"/>
      <c r="B30" s="90"/>
      <c r="C30" s="90"/>
      <c r="D30" s="14"/>
      <c r="E30" s="14"/>
      <c r="F30" s="14"/>
      <c r="G30" s="14"/>
      <c r="H30" s="14"/>
      <c r="I30" s="14"/>
      <c r="J30" s="14"/>
      <c r="K30" s="100"/>
      <c r="L30" s="162"/>
      <c r="M30" s="162"/>
    </row>
    <row r="31" spans="1:14">
      <c r="A31" s="94" t="s">
        <v>512</v>
      </c>
      <c r="B31" s="94"/>
      <c r="C31" s="94"/>
      <c r="D31" s="14"/>
      <c r="E31" s="14"/>
      <c r="F31" s="14"/>
      <c r="G31" s="14"/>
      <c r="H31" s="14"/>
      <c r="I31" s="14"/>
      <c r="J31" s="14"/>
      <c r="K31" s="100"/>
      <c r="L31" s="162"/>
      <c r="M31" s="162"/>
    </row>
    <row r="32" spans="1:14">
      <c r="A32" s="94"/>
      <c r="B32" s="94" t="s">
        <v>932</v>
      </c>
      <c r="C32" s="95">
        <f>'Effaith firws corona'!B4</f>
        <v>0</v>
      </c>
      <c r="D32" s="14"/>
      <c r="E32" s="14"/>
      <c r="F32" s="14"/>
      <c r="G32" s="14"/>
      <c r="H32" s="14"/>
      <c r="I32" s="14"/>
      <c r="J32" s="14"/>
      <c r="K32" s="100"/>
      <c r="L32" s="102"/>
      <c r="M32" s="102"/>
    </row>
    <row r="33" spans="1:13" ht="16">
      <c r="A33" s="90"/>
      <c r="B33" s="90"/>
      <c r="C33" s="90"/>
      <c r="D33" s="14"/>
      <c r="E33" s="14"/>
      <c r="F33" s="14"/>
      <c r="G33" s="14"/>
      <c r="H33" s="14"/>
      <c r="I33" s="14"/>
      <c r="J33" s="14"/>
      <c r="K33" s="100"/>
      <c r="L33" s="102"/>
      <c r="M33" s="102"/>
    </row>
    <row r="34" spans="1:13">
      <c r="A34" s="96" t="s">
        <v>5</v>
      </c>
      <c r="B34" s="96"/>
      <c r="C34" s="96"/>
      <c r="D34" s="14"/>
      <c r="E34" s="14"/>
      <c r="F34" s="14"/>
      <c r="G34" s="14"/>
      <c r="H34" s="14"/>
      <c r="I34" s="14"/>
      <c r="J34" s="14"/>
      <c r="K34" s="100"/>
      <c r="L34" s="102"/>
      <c r="M34" s="102"/>
    </row>
    <row r="35" spans="1:13">
      <c r="A35" s="96" t="s">
        <v>523</v>
      </c>
      <c r="B35" s="97" t="s">
        <v>524</v>
      </c>
      <c r="C35" s="98">
        <f>COUNTIF(Arddangosfeydd!$C$4:$C$9999,"Digwyddiad digidol byw")</f>
        <v>0</v>
      </c>
      <c r="D35" s="14"/>
      <c r="E35" s="14"/>
      <c r="F35" s="14"/>
      <c r="G35" s="14"/>
      <c r="H35" s="14"/>
      <c r="I35" s="14"/>
      <c r="J35" s="14"/>
      <c r="K35" s="100"/>
      <c r="L35" s="102"/>
      <c r="M35" s="102"/>
    </row>
    <row r="36" spans="1:13">
      <c r="A36" s="96"/>
      <c r="B36" s="97" t="s">
        <v>525</v>
      </c>
      <c r="C36" s="98">
        <f>SUMIF(Arddangosfeydd!$C$4:$C$9999,"Digwyddiad digidol byw",Arddangosfeydd!F4:F9999)</f>
        <v>0</v>
      </c>
      <c r="D36" s="158">
        <f>L36</f>
        <v>1</v>
      </c>
      <c r="E36" s="14"/>
      <c r="F36" s="14"/>
      <c r="G36" s="14"/>
      <c r="H36" s="14"/>
      <c r="I36" s="14"/>
      <c r="J36" s="14"/>
      <c r="K36" s="100"/>
      <c r="L36" s="102">
        <f>IF(M36="ok",1,0)</f>
        <v>1</v>
      </c>
      <c r="M36" s="102" t="str">
        <f>IF(AND(C35&gt;=0.1,C36&gt;=C35),"ok",IF(AND(C35=0,C36=0),"ok",IF(AND(C35&gt;0.1,C36=0),"wrong",IF(AND(C35=0,C36&gt;0.1),"wrong"))))</f>
        <v>ok</v>
      </c>
    </row>
    <row r="37" spans="1:13">
      <c r="A37" s="96"/>
      <c r="B37" s="97" t="s">
        <v>526</v>
      </c>
      <c r="C37" s="98">
        <f>COUNTIF(Arddangosfeydd!$C$4:$C$9999,"Digwyddiad digidol wedi'i recordio ymlaen llaw")</f>
        <v>0</v>
      </c>
      <c r="D37" s="158"/>
      <c r="E37" s="14"/>
      <c r="F37" s="14"/>
      <c r="G37" s="14"/>
      <c r="H37" s="14"/>
      <c r="I37" s="14"/>
      <c r="J37" s="14"/>
      <c r="K37" s="100"/>
      <c r="L37" s="102"/>
      <c r="M37" s="102"/>
    </row>
    <row r="38" spans="1:13">
      <c r="A38" s="96"/>
      <c r="B38" s="97" t="s">
        <v>527</v>
      </c>
      <c r="C38" s="98">
        <f>SUMIF(Arddangosfeydd!$C$4:$C$9999,"Digwyddiad digidol wedi'i recordio ymlaen llaw",Arddangosfeydd!F4:F9999)</f>
        <v>0</v>
      </c>
      <c r="D38" s="158">
        <f>L38</f>
        <v>1</v>
      </c>
      <c r="E38" s="14"/>
      <c r="F38" s="14"/>
      <c r="G38" s="14"/>
      <c r="H38" s="14"/>
      <c r="I38" s="14"/>
      <c r="J38" s="14"/>
      <c r="K38" s="100"/>
      <c r="L38" s="102">
        <f>IF(M38="ok",1,0)</f>
        <v>1</v>
      </c>
      <c r="M38" s="102" t="str">
        <f>IF(AND(C37&gt;=0.1,C38&gt;=C37),"ok",IF(AND(C37=0,C38=0),"ok",IF(AND(C37&gt;0.1,C38=0),"wrong",IF(AND(C37=0,C38&gt;0.1),"wrong"))))</f>
        <v>ok</v>
      </c>
    </row>
    <row r="39" spans="1:13">
      <c r="A39" s="96"/>
      <c r="B39" s="97" t="s">
        <v>528</v>
      </c>
      <c r="C39" s="98">
        <f>COUNTIF(Arddangosfeydd!$C$4:$C$9999,"Digwyddiad byw mewn man arddangos")</f>
        <v>0</v>
      </c>
      <c r="D39" s="158"/>
      <c r="E39" s="14"/>
      <c r="F39" s="14"/>
      <c r="G39" s="14"/>
      <c r="H39" s="14"/>
      <c r="I39" s="14"/>
      <c r="J39" s="14"/>
      <c r="K39" s="100"/>
      <c r="L39" s="102"/>
      <c r="M39" s="102"/>
    </row>
    <row r="40" spans="1:13">
      <c r="A40" s="96"/>
      <c r="B40" s="97" t="s">
        <v>529</v>
      </c>
      <c r="C40" s="98">
        <f>SUMIF(Arddangosfeydd!$C$4:$C$9999,"Digwyddiad byw mewn man arddangos",Arddangosfeydd!F4:F9999)</f>
        <v>0</v>
      </c>
      <c r="D40" s="158">
        <f>L40</f>
        <v>1</v>
      </c>
      <c r="E40" s="14"/>
      <c r="F40" s="14"/>
      <c r="G40" s="14"/>
      <c r="H40" s="14"/>
      <c r="I40" s="14"/>
      <c r="J40" s="14"/>
      <c r="K40" s="100"/>
      <c r="L40" s="102">
        <f>IF(M40="ok",1,0)</f>
        <v>1</v>
      </c>
      <c r="M40" s="102" t="str">
        <f>IF(AND(C39&gt;=0.1,C40&gt;=C39),"ok",IF(AND(C39=0,C40=0),"ok",IF(AND(C39&gt;0.1,C40=0),"wrong",IF(AND(C39=0,C40&gt;0.1),"wrong"))))</f>
        <v>ok</v>
      </c>
    </row>
    <row r="41" spans="1:13">
      <c r="A41" s="96"/>
      <c r="B41" s="97" t="s">
        <v>350</v>
      </c>
      <c r="C41" s="98">
        <f>COUNTIF(Arddangosfeydd!$C$4:$C$9999,"Taith Gerdded Rithiol Dri Dimensiwn")</f>
        <v>0</v>
      </c>
      <c r="D41" s="158"/>
      <c r="E41" s="14"/>
      <c r="F41" s="14"/>
      <c r="G41" s="14"/>
      <c r="H41" s="14"/>
      <c r="I41" s="14"/>
      <c r="J41" s="14"/>
      <c r="K41" s="100"/>
      <c r="L41" s="102"/>
      <c r="M41" s="102"/>
    </row>
    <row r="42" spans="1:13">
      <c r="A42" s="96"/>
      <c r="B42" s="97" t="s">
        <v>963</v>
      </c>
      <c r="C42" s="98">
        <f>SUMIF(Arddangosfeydd!$C$4:$C$9999,"Taith Gerdded Rithiol Dri Dimensiwn",Arddangosfeydd!F4:F9999)</f>
        <v>0</v>
      </c>
      <c r="D42" s="158">
        <f>L42</f>
        <v>1</v>
      </c>
      <c r="E42" s="14"/>
      <c r="F42" s="14"/>
      <c r="G42" s="14"/>
      <c r="H42" s="14"/>
      <c r="I42" s="14"/>
      <c r="J42" s="14"/>
      <c r="K42" s="100"/>
      <c r="L42" s="102">
        <f>IF(M42="ok",1,0)</f>
        <v>1</v>
      </c>
      <c r="M42" s="102" t="str">
        <f>IF(AND(C41&gt;=0.1,C42&gt;=C41),"ok",IF(AND(C41=0,C42=0),"ok",IF(AND(C41&gt;0.1,C42=0),"wrong",IF(AND(C41=0,C42&gt;0.1),"wrong"))))</f>
        <v>ok</v>
      </c>
    </row>
    <row r="43" spans="1:13" ht="26">
      <c r="A43" s="99" t="s">
        <v>530</v>
      </c>
      <c r="B43" s="99" t="s">
        <v>531</v>
      </c>
      <c r="C43" s="98">
        <f>COUNTIF(Arddangosfeydd!$D$4:$D$99998,"Cyfryngau Cymysg")</f>
        <v>0</v>
      </c>
      <c r="D43" s="14"/>
      <c r="E43" s="14"/>
      <c r="F43" s="14"/>
      <c r="G43" s="14"/>
      <c r="H43" s="14"/>
      <c r="I43" s="14"/>
      <c r="J43" s="14"/>
      <c r="K43" s="100"/>
      <c r="L43" s="102"/>
      <c r="M43" s="102"/>
    </row>
    <row r="44" spans="1:13">
      <c r="A44" s="101"/>
      <c r="B44" s="99" t="s">
        <v>532</v>
      </c>
      <c r="C44" s="98">
        <f ca="1">SUMIF(Arddangosfeydd!$D$4:$D$99998,"Cyfryngau Cymysg",Arddangosfeydd!$F$4:$F$9998)</f>
        <v>0</v>
      </c>
      <c r="D44" s="102">
        <f ca="1">L44</f>
        <v>1</v>
      </c>
      <c r="E44" s="14"/>
      <c r="F44" s="14"/>
      <c r="G44" s="14"/>
      <c r="H44" s="14"/>
      <c r="I44" s="14"/>
      <c r="J44" s="14"/>
      <c r="K44" s="100"/>
      <c r="L44" s="102">
        <f ca="1">IF(M44="ok",1,0)</f>
        <v>1</v>
      </c>
      <c r="M44" s="162" t="str">
        <f ca="1">IF(AND(C43&gt;=0.1,C44&gt;=C43),"ok",IF(AND(C43=0,C44=0),"ok",IF(AND(C43&gt;0.1,C44=0),"wrong",IF(AND(C43=0,C44&gt;0.1),"wrong"))))</f>
        <v>ok</v>
      </c>
    </row>
    <row r="45" spans="1:13" ht="26">
      <c r="A45" s="101"/>
      <c r="B45" s="99" t="s">
        <v>533</v>
      </c>
      <c r="C45" s="98">
        <f>COUNTIF(Arddangosfeydd!$D$4:$D$99998,"Penodol i'r Safle")</f>
        <v>0</v>
      </c>
      <c r="D45" s="14"/>
      <c r="E45" s="14"/>
      <c r="F45" s="14"/>
      <c r="G45" s="14"/>
      <c r="H45" s="14"/>
      <c r="I45" s="14"/>
      <c r="J45" s="14"/>
      <c r="K45" s="100"/>
      <c r="L45" s="102"/>
      <c r="M45" s="102"/>
    </row>
    <row r="46" spans="1:13">
      <c r="A46" s="101"/>
      <c r="B46" s="99" t="s">
        <v>534</v>
      </c>
      <c r="C46" s="98">
        <f ca="1">SUMIF(Arddangosfeydd!$D$4:$D$99998,"Penodol i'r Safle",Arddangosfeydd!$F$4:$F$9998)</f>
        <v>0</v>
      </c>
      <c r="D46" s="102">
        <f ca="1">L46</f>
        <v>1</v>
      </c>
      <c r="E46" s="14"/>
      <c r="F46" s="14"/>
      <c r="G46" s="14"/>
      <c r="H46" s="14"/>
      <c r="I46" s="14"/>
      <c r="J46" s="14"/>
      <c r="K46" s="100"/>
      <c r="L46" s="102">
        <f t="shared" ref="L46" ca="1" si="3">IF(M46="ok",1,0)</f>
        <v>1</v>
      </c>
      <c r="M46" s="162" t="str">
        <f ca="1">IF(AND(C45&gt;=0.1,C46&gt;=C45),"ok",IF(AND(C45=0,C46=0),"ok",IF(AND(C45&gt;0.1,C46=0),"wrong",IF(AND(C45=0,C46&gt;0.1),"wrong"))))</f>
        <v>ok</v>
      </c>
    </row>
    <row r="47" spans="1:13" ht="26">
      <c r="A47" s="101"/>
      <c r="B47" s="99" t="s">
        <v>535</v>
      </c>
      <c r="C47" s="98">
        <f>COUNTIF(Arddangosfeydd!$D$4:$D$99998,"2D")</f>
        <v>0</v>
      </c>
      <c r="D47" s="14"/>
      <c r="E47" s="14"/>
      <c r="F47" s="14"/>
      <c r="G47" s="14"/>
      <c r="H47" s="14"/>
      <c r="I47" s="14"/>
      <c r="J47" s="14"/>
      <c r="K47" s="100"/>
      <c r="L47" s="102"/>
      <c r="M47" s="102"/>
    </row>
    <row r="48" spans="1:13">
      <c r="A48" s="101"/>
      <c r="B48" s="99" t="s">
        <v>536</v>
      </c>
      <c r="C48" s="98">
        <f ca="1">SUMIF(Arddangosfeydd!$D$4:$D$99998,"2D",Arddangosfeydd!$F$4:$F$9998)</f>
        <v>0</v>
      </c>
      <c r="D48" s="102">
        <f ca="1">L48</f>
        <v>1</v>
      </c>
      <c r="E48" s="14"/>
      <c r="F48" s="14"/>
      <c r="G48" s="14"/>
      <c r="H48" s="14"/>
      <c r="I48" s="14"/>
      <c r="J48" s="14"/>
      <c r="K48" s="100"/>
      <c r="L48" s="102">
        <f t="shared" ref="L48" ca="1" si="4">IF(M48="ok",1,0)</f>
        <v>1</v>
      </c>
      <c r="M48" s="162" t="str">
        <f ca="1">IF(AND(C47&gt;=0.1,C48&gt;=C47),"ok",IF(AND(C47=0,C48=0),"ok",IF(AND(C47&gt;0.1,C48=0),"wrong",IF(AND(C47=0,C48&gt;0.1),"wrong"))))</f>
        <v>ok</v>
      </c>
    </row>
    <row r="49" spans="1:13" ht="26">
      <c r="A49" s="101"/>
      <c r="B49" s="99" t="s">
        <v>537</v>
      </c>
      <c r="C49" s="98">
        <f>COUNTIF(Arddangosfeydd!$D$4:$D$99998,"Ffotograffiaeth")</f>
        <v>0</v>
      </c>
      <c r="D49" s="14"/>
      <c r="E49" s="14"/>
      <c r="F49" s="14"/>
      <c r="G49" s="14"/>
      <c r="H49" s="14"/>
      <c r="I49" s="14"/>
      <c r="J49" s="14"/>
      <c r="K49" s="100"/>
      <c r="L49" s="102"/>
      <c r="M49" s="102"/>
    </row>
    <row r="50" spans="1:13">
      <c r="A50" s="101"/>
      <c r="B50" s="99" t="s">
        <v>538</v>
      </c>
      <c r="C50" s="98">
        <f ca="1">SUMIF(Arddangosfeydd!$D$4:$D$99998,"Ffotograffiaeth",Arddangosfeydd!$F$4:$F$9998)</f>
        <v>0</v>
      </c>
      <c r="D50" s="102">
        <f ca="1">L50</f>
        <v>1</v>
      </c>
      <c r="E50" s="14"/>
      <c r="F50" s="14"/>
      <c r="G50" s="14"/>
      <c r="H50" s="14"/>
      <c r="I50" s="14"/>
      <c r="J50" s="14"/>
      <c r="K50" s="100"/>
      <c r="L50" s="102">
        <f t="shared" ref="L50" ca="1" si="5">IF(M50="ok",1,0)</f>
        <v>1</v>
      </c>
      <c r="M50" s="162" t="str">
        <f ca="1">IF(AND(C49&gt;=0.1,C50&gt;=C49),"ok",IF(AND(C49=0,C50=0),"ok",IF(AND(C49&gt;0.1,C50=0),"wrong",IF(AND(C49=0,C50&gt;0.1),"wrong"))))</f>
        <v>ok</v>
      </c>
    </row>
    <row r="51" spans="1:13" ht="26">
      <c r="A51" s="101"/>
      <c r="B51" s="99" t="s">
        <v>539</v>
      </c>
      <c r="C51" s="98">
        <f>COUNTIF(Arddangosfeydd!$D$4:$D$99998,"Cyfryngau Digidol")</f>
        <v>0</v>
      </c>
      <c r="D51" s="14"/>
      <c r="E51" s="14"/>
      <c r="F51" s="14"/>
      <c r="G51" s="14"/>
      <c r="H51" s="14"/>
      <c r="I51" s="14"/>
      <c r="J51" s="14"/>
      <c r="K51" s="100"/>
      <c r="L51" s="102"/>
      <c r="M51" s="102"/>
    </row>
    <row r="52" spans="1:13">
      <c r="A52" s="101"/>
      <c r="B52" s="99" t="s">
        <v>540</v>
      </c>
      <c r="C52" s="98">
        <f ca="1">SUMIF(Arddangosfeydd!$D$4:$D$99998,"Cyfryngau Digidol",Arddangosfeydd!$F$4:$F$9998)</f>
        <v>0</v>
      </c>
      <c r="D52" s="102">
        <f ca="1">L52</f>
        <v>1</v>
      </c>
      <c r="E52" s="14"/>
      <c r="F52" s="14"/>
      <c r="G52" s="14"/>
      <c r="H52" s="14"/>
      <c r="I52" s="14"/>
      <c r="J52" s="14"/>
      <c r="K52" s="100"/>
      <c r="L52" s="102">
        <f t="shared" ref="L52" ca="1" si="6">IF(M52="ok",1,0)</f>
        <v>1</v>
      </c>
      <c r="M52" s="162" t="str">
        <f ca="1">IF(AND(C51&gt;=0.1,C52&gt;=C51),"ok",IF(AND(C51=0,C52=0),"ok",IF(AND(C51&gt;0.1,C52=0),"wrong",IF(AND(C51=0,C52&gt;0.1),"wrong"))))</f>
        <v>ok</v>
      </c>
    </row>
    <row r="53" spans="1:13" ht="26">
      <c r="A53" s="101"/>
      <c r="B53" s="99" t="s">
        <v>541</v>
      </c>
      <c r="C53" s="98">
        <f>COUNTIF(Arddangosfeydd!$D$4:$D$99998,"Celf Berfformio")</f>
        <v>0</v>
      </c>
      <c r="D53" s="14"/>
      <c r="E53" s="14"/>
      <c r="F53" s="14"/>
      <c r="G53" s="14"/>
      <c r="H53" s="14"/>
      <c r="I53" s="14"/>
      <c r="J53" s="14"/>
      <c r="K53" s="100"/>
      <c r="L53" s="102"/>
      <c r="M53" s="102"/>
    </row>
    <row r="54" spans="1:13">
      <c r="A54" s="101"/>
      <c r="B54" s="99" t="s">
        <v>542</v>
      </c>
      <c r="C54" s="98">
        <f ca="1">SUMIF(Arddangosfeydd!$D$4:$D$99998,"Celf Berfformio",Arddangosfeydd!$F$4:$F$9998)</f>
        <v>0</v>
      </c>
      <c r="D54" s="102">
        <f ca="1">L54</f>
        <v>1</v>
      </c>
      <c r="E54" s="14"/>
      <c r="F54" s="14"/>
      <c r="G54" s="14"/>
      <c r="H54" s="14"/>
      <c r="I54" s="14"/>
      <c r="J54" s="14"/>
      <c r="K54" s="100"/>
      <c r="L54" s="102">
        <f t="shared" ref="L54" ca="1" si="7">IF(M54="ok",1,0)</f>
        <v>1</v>
      </c>
      <c r="M54" s="162" t="str">
        <f ca="1">IF(AND(C53&gt;=0.1,C54&gt;=C53),"ok",IF(AND(C53=0,C54=0),"ok",IF(AND(C53&gt;0.1,C54=0),"wrong",IF(AND(C53=0,C54&gt;0.1),"wrong"))))</f>
        <v>ok</v>
      </c>
    </row>
    <row r="55" spans="1:13" ht="26">
      <c r="A55" s="101"/>
      <c r="B55" s="99" t="s">
        <v>543</v>
      </c>
      <c r="C55" s="98">
        <f>COUNTIF(Arddangosfeydd!$D$4:$D$99998,"Celf Sain")</f>
        <v>0</v>
      </c>
      <c r="D55" s="14"/>
      <c r="E55" s="14"/>
      <c r="F55" s="14"/>
      <c r="G55" s="14"/>
      <c r="H55" s="14"/>
      <c r="I55" s="14"/>
      <c r="J55" s="14"/>
      <c r="K55" s="100"/>
      <c r="L55" s="102"/>
      <c r="M55" s="102"/>
    </row>
    <row r="56" spans="1:13">
      <c r="A56" s="101"/>
      <c r="B56" s="99" t="s">
        <v>544</v>
      </c>
      <c r="C56" s="98">
        <f ca="1">SUMIF(Arddangosfeydd!$D$4:$D$99998,"Celf Sain",Arddangosfeydd!$F$4:$F$9998)</f>
        <v>0</v>
      </c>
      <c r="D56" s="102">
        <f ca="1">L56</f>
        <v>1</v>
      </c>
      <c r="E56" s="14"/>
      <c r="F56" s="14"/>
      <c r="G56" s="14"/>
      <c r="H56" s="14"/>
      <c r="I56" s="14"/>
      <c r="J56" s="14"/>
      <c r="K56" s="100"/>
      <c r="L56" s="102">
        <f t="shared" ref="L56" ca="1" si="8">IF(M56="ok",1,0)</f>
        <v>1</v>
      </c>
      <c r="M56" s="162" t="str">
        <f ca="1">IF(AND(C55&gt;=0.1,C56&gt;=C55),"ok",IF(AND(C55=0,C56=0),"ok",IF(AND(C55&gt;0.1,C56=0),"wrong",IF(AND(C55=0,C56&gt;0.1),"wrong"))))</f>
        <v>ok</v>
      </c>
    </row>
    <row r="57" spans="1:13" ht="26">
      <c r="A57" s="101"/>
      <c r="B57" s="99" t="s">
        <v>545</v>
      </c>
      <c r="C57" s="98">
        <f>COUNTIF(Arddangosfeydd!$D$4:$D$99998,"Cerflun")</f>
        <v>0</v>
      </c>
      <c r="D57" s="14"/>
      <c r="E57" s="14"/>
      <c r="F57" s="14"/>
      <c r="G57" s="14"/>
      <c r="H57" s="14"/>
      <c r="I57" s="14"/>
      <c r="J57" s="14"/>
      <c r="K57" s="100"/>
      <c r="L57" s="102"/>
      <c r="M57" s="102"/>
    </row>
    <row r="58" spans="1:13">
      <c r="A58" s="101"/>
      <c r="B58" s="99" t="s">
        <v>546</v>
      </c>
      <c r="C58" s="98">
        <f ca="1">SUMIF(Arddangosfeydd!$D$4:$D$99998,"Cerflun",Arddangosfeydd!$F$4:$F$9998)</f>
        <v>0</v>
      </c>
      <c r="D58" s="102">
        <f ca="1">L58</f>
        <v>1</v>
      </c>
      <c r="E58" s="14"/>
      <c r="F58" s="14"/>
      <c r="G58" s="14"/>
      <c r="H58" s="14"/>
      <c r="I58" s="14"/>
      <c r="J58" s="14"/>
      <c r="K58" s="100"/>
      <c r="L58" s="102">
        <f t="shared" ref="L58" ca="1" si="9">IF(M58="ok",1,0)</f>
        <v>1</v>
      </c>
      <c r="M58" s="162" t="str">
        <f ca="1">IF(AND(C57&gt;=0.1,C58&gt;=C57),"ok",IF(AND(C57=0,C58=0),"ok",IF(AND(C57&gt;0.1,C58=0),"wrong",IF(AND(C57=0,C58&gt;0.1),"wrong"))))</f>
        <v>ok</v>
      </c>
    </row>
    <row r="59" spans="1:13">
      <c r="A59" s="101"/>
      <c r="B59" s="99" t="s">
        <v>547</v>
      </c>
      <c r="C59" s="98">
        <f>COUNTIF(Arddangosfeydd!$D$4:$D$99998,"Arall")</f>
        <v>0</v>
      </c>
      <c r="D59" s="14"/>
      <c r="E59" s="14"/>
      <c r="F59" s="14"/>
      <c r="G59" s="14"/>
      <c r="H59" s="14"/>
      <c r="I59" s="14"/>
      <c r="J59" s="14"/>
      <c r="K59" s="100"/>
      <c r="L59" s="102"/>
      <c r="M59" s="102"/>
    </row>
    <row r="60" spans="1:13">
      <c r="A60" s="101"/>
      <c r="B60" s="99" t="s">
        <v>548</v>
      </c>
      <c r="C60" s="98">
        <f ca="1">SUMIF(Arddangosfeydd!$D$4:$D$99998,"Arall",Arddangosfeydd!$F$4:$F$9998)</f>
        <v>0</v>
      </c>
      <c r="D60" s="102">
        <f ca="1">L60</f>
        <v>1</v>
      </c>
      <c r="E60" s="14"/>
      <c r="F60" s="14"/>
      <c r="G60" s="14"/>
      <c r="H60" s="14"/>
      <c r="I60" s="14"/>
      <c r="J60" s="14"/>
      <c r="K60" s="100"/>
      <c r="L60" s="102">
        <f t="shared" ref="L60" ca="1" si="10">IF(M60="ok",1,0)</f>
        <v>1</v>
      </c>
      <c r="M60" s="162" t="str">
        <f ca="1">IF(AND(C59&gt;=0.1,C60&gt;=C59),"ok",IF(AND(C59=0,C60=0),"ok",IF(AND(C59&gt;0.1,C60=0),"wrong",IF(AND(C59=0,C60&gt;0.1),"wrong"))))</f>
        <v>ok</v>
      </c>
    </row>
    <row r="61" spans="1:13" ht="26">
      <c r="A61" s="99" t="s">
        <v>549</v>
      </c>
      <c r="B61" s="99" t="s">
        <v>550</v>
      </c>
      <c r="C61" s="98">
        <f>COUNTIF(Arddangosfeydd!$E$4:$E$99998,"Aml-gyfrwng/Cyfryngau Cymysg")</f>
        <v>0</v>
      </c>
      <c r="D61" s="14"/>
      <c r="E61" s="14"/>
      <c r="F61" s="14"/>
      <c r="G61" s="14"/>
      <c r="H61" s="14"/>
      <c r="I61" s="14"/>
      <c r="J61" s="14"/>
      <c r="K61" s="100"/>
      <c r="L61" s="102"/>
      <c r="M61" s="102"/>
    </row>
    <row r="62" spans="1:13">
      <c r="A62" s="101"/>
      <c r="B62" s="99" t="s">
        <v>551</v>
      </c>
      <c r="C62" s="98">
        <f ca="1">SUMIF(Arddangosfeydd!$E$4:$E$99998,"Aml-gyfrwng/Cyfryngau Cymysg",Arddangosfeydd!$F$4:$F$9998)</f>
        <v>0</v>
      </c>
      <c r="D62" s="102">
        <f ca="1">L62</f>
        <v>1</v>
      </c>
      <c r="E62" s="14"/>
      <c r="F62" s="14"/>
      <c r="G62" s="14"/>
      <c r="H62" s="14"/>
      <c r="I62" s="14"/>
      <c r="J62" s="14"/>
      <c r="K62" s="100"/>
      <c r="L62" s="102">
        <f t="shared" ref="L62" ca="1" si="11">IF(M62="ok",1,0)</f>
        <v>1</v>
      </c>
      <c r="M62" s="162" t="str">
        <f ca="1">IF(AND(C61&gt;=0.1,C62&gt;=C61),"ok",IF(AND(C61=0,C62=0),"ok",IF(AND(C61&gt;0.1,C62=0),"wrong",IF(AND(C61=0,C62&gt;0.1),"wrong"))))</f>
        <v>ok</v>
      </c>
    </row>
    <row r="63" spans="1:13" ht="26">
      <c r="A63" s="101"/>
      <c r="B63" s="99" t="s">
        <v>552</v>
      </c>
      <c r="C63" s="98">
        <f>COUNTIF(Arddangosfeydd!$E$4:$E$99998,"Cerameg")</f>
        <v>0</v>
      </c>
      <c r="D63" s="14"/>
      <c r="E63" s="14"/>
      <c r="F63" s="14"/>
      <c r="G63" s="14"/>
      <c r="H63" s="14"/>
      <c r="I63" s="14"/>
      <c r="J63" s="14"/>
      <c r="K63" s="100"/>
      <c r="L63" s="102"/>
      <c r="M63" s="102"/>
    </row>
    <row r="64" spans="1:13">
      <c r="A64" s="101"/>
      <c r="B64" s="99" t="s">
        <v>553</v>
      </c>
      <c r="C64" s="98">
        <f ca="1">SUMIF(Arddangosfeydd!$E$4:$E$99998,"Cerameg",Arddangosfeydd!$F$4:$F$9998)</f>
        <v>0</v>
      </c>
      <c r="D64" s="102">
        <f ca="1">L64</f>
        <v>1</v>
      </c>
      <c r="E64" s="14"/>
      <c r="F64" s="14"/>
      <c r="G64" s="14"/>
      <c r="H64" s="14"/>
      <c r="I64" s="14"/>
      <c r="J64" s="14"/>
      <c r="K64" s="100"/>
      <c r="L64" s="102">
        <f t="shared" ref="L64" ca="1" si="12">IF(M64="ok",1,0)</f>
        <v>1</v>
      </c>
      <c r="M64" s="162" t="str">
        <f ca="1">IF(AND(C63&gt;=0.1,C64&gt;=C63),"ok",IF(AND(C63=0,C64=0),"ok",IF(AND(C63&gt;0.1,C64=0),"wrong",IF(AND(C63=0,C64&gt;0.1),"wrong"))))</f>
        <v>ok</v>
      </c>
    </row>
    <row r="65" spans="1:13" ht="26">
      <c r="A65" s="101"/>
      <c r="B65" s="99" t="s">
        <v>554</v>
      </c>
      <c r="C65" s="98">
        <f>COUNTIF(Arddangosfeydd!$E$4:$E$99998,"Tecstilau")</f>
        <v>0</v>
      </c>
      <c r="D65" s="14"/>
      <c r="E65" s="14"/>
      <c r="F65" s="14"/>
      <c r="G65" s="14"/>
      <c r="H65" s="14"/>
      <c r="I65" s="14"/>
      <c r="J65" s="14"/>
      <c r="K65" s="100"/>
      <c r="L65" s="102"/>
      <c r="M65" s="102"/>
    </row>
    <row r="66" spans="1:13">
      <c r="A66" s="101"/>
      <c r="B66" s="99" t="s">
        <v>555</v>
      </c>
      <c r="C66" s="98">
        <f ca="1">SUMIF(Arddangosfeydd!$E$4:$E$99998,"Tecstilau",Arddangosfeydd!$F$4:$F$9998)</f>
        <v>0</v>
      </c>
      <c r="D66" s="102">
        <f ca="1">L66</f>
        <v>1</v>
      </c>
      <c r="E66" s="14"/>
      <c r="F66" s="14"/>
      <c r="G66" s="14"/>
      <c r="H66" s="14"/>
      <c r="I66" s="14"/>
      <c r="J66" s="14"/>
      <c r="K66" s="100"/>
      <c r="L66" s="102">
        <f t="shared" ref="L66" ca="1" si="13">IF(M66="ok",1,0)</f>
        <v>1</v>
      </c>
      <c r="M66" s="162" t="str">
        <f ca="1">IF(AND(C65&gt;=0.1,C66&gt;=C65),"ok",IF(AND(C65=0,C66=0),"ok",IF(AND(C65&gt;0.1,C66=0),"wrong",IF(AND(C65=0,C66&gt;0.1),"wrong"))))</f>
        <v>ok</v>
      </c>
    </row>
    <row r="67" spans="1:13" ht="26">
      <c r="A67" s="101"/>
      <c r="B67" s="99" t="s">
        <v>556</v>
      </c>
      <c r="C67" s="98">
        <f>COUNTIF(Arddangosfeydd!$E$4:$E$99998,"Gemwaith")</f>
        <v>0</v>
      </c>
      <c r="D67" s="14"/>
      <c r="E67" s="14"/>
      <c r="F67" s="14"/>
      <c r="G67" s="14"/>
      <c r="H67" s="14"/>
      <c r="I67" s="14"/>
      <c r="J67" s="14"/>
      <c r="K67" s="100"/>
      <c r="L67" s="102"/>
      <c r="M67" s="102"/>
    </row>
    <row r="68" spans="1:13">
      <c r="A68" s="101"/>
      <c r="B68" s="99" t="s">
        <v>557</v>
      </c>
      <c r="C68" s="98">
        <f ca="1">SUMIF(Arddangosfeydd!$E$4:$E$99998,"Gemwaith",Arddangosfeydd!$F$4:$F$9998)</f>
        <v>0</v>
      </c>
      <c r="D68" s="102">
        <f ca="1">L68</f>
        <v>1</v>
      </c>
      <c r="E68" s="14"/>
      <c r="F68" s="14"/>
      <c r="G68" s="14"/>
      <c r="H68" s="14"/>
      <c r="I68" s="14"/>
      <c r="J68" s="14"/>
      <c r="K68" s="100"/>
      <c r="L68" s="102">
        <f t="shared" ref="L68" ca="1" si="14">IF(M68="ok",1,0)</f>
        <v>1</v>
      </c>
      <c r="M68" s="162" t="str">
        <f ca="1">IF(AND(C67&gt;=0.1,C68&gt;=C67),"ok",IF(AND(C67=0,C68=0),"ok",IF(AND(C67&gt;0.1,C68=0),"wrong",IF(AND(C67=0,C68&gt;0.1),"wrong"))))</f>
        <v>ok</v>
      </c>
    </row>
    <row r="69" spans="1:13">
      <c r="A69" s="101"/>
      <c r="B69" s="99" t="s">
        <v>558</v>
      </c>
      <c r="C69" s="98">
        <f>COUNTIF(Arddangosfeydd!$E$4:$E$99998,"Gwydr")</f>
        <v>0</v>
      </c>
      <c r="D69" s="14"/>
      <c r="E69" s="14"/>
      <c r="F69" s="14"/>
      <c r="G69" s="14"/>
      <c r="H69" s="14"/>
      <c r="I69" s="14"/>
      <c r="J69" s="14"/>
      <c r="K69" s="100"/>
      <c r="L69" s="102"/>
      <c r="M69" s="102"/>
    </row>
    <row r="70" spans="1:13">
      <c r="A70" s="101"/>
      <c r="B70" s="99" t="s">
        <v>559</v>
      </c>
      <c r="C70" s="98">
        <f ca="1">SUMIF(Arddangosfeydd!$E$4:$E$99998,"Gwydr",Arddangosfeydd!$F$4:$F$9998)</f>
        <v>0</v>
      </c>
      <c r="D70" s="102">
        <f ca="1">L70</f>
        <v>1</v>
      </c>
      <c r="E70" s="14"/>
      <c r="F70" s="14"/>
      <c r="G70" s="14"/>
      <c r="H70" s="14"/>
      <c r="I70" s="14"/>
      <c r="J70" s="14"/>
      <c r="K70" s="100"/>
      <c r="L70" s="102">
        <f t="shared" ref="L70" ca="1" si="15">IF(M70="ok",1,0)</f>
        <v>1</v>
      </c>
      <c r="M70" s="162" t="str">
        <f ca="1">IF(AND(C69&gt;=0.1,C70&gt;=C69),"ok",IF(AND(C69=0,C70=0),"ok",IF(AND(C69&gt;0.1,C70=0),"wrong",IF(AND(C69=0,C70&gt;0.1),"wrong"))))</f>
        <v>ok</v>
      </c>
    </row>
    <row r="71" spans="1:13" ht="26">
      <c r="A71" s="101"/>
      <c r="B71" s="99" t="s">
        <v>560</v>
      </c>
      <c r="C71" s="98">
        <f>COUNTIF(Arddangosfeydd!$E$4:$E$99998,"Gwehyddu")</f>
        <v>0</v>
      </c>
      <c r="D71" s="14"/>
      <c r="E71" s="14"/>
      <c r="F71" s="14"/>
      <c r="G71" s="14"/>
      <c r="H71" s="14"/>
      <c r="I71" s="14"/>
      <c r="J71" s="14"/>
      <c r="K71" s="100"/>
      <c r="L71" s="102"/>
      <c r="M71" s="102"/>
    </row>
    <row r="72" spans="1:13">
      <c r="A72" s="101"/>
      <c r="B72" s="99" t="s">
        <v>561</v>
      </c>
      <c r="C72" s="98">
        <f ca="1">SUMIF(Arddangosfeydd!$E$4:$E$99998,"Gwehyddu",Arddangosfeydd!$F$4:$F$9998)</f>
        <v>0</v>
      </c>
      <c r="D72" s="102">
        <f ca="1">L72</f>
        <v>1</v>
      </c>
      <c r="E72" s="14"/>
      <c r="F72" s="14"/>
      <c r="G72" s="14"/>
      <c r="H72" s="14"/>
      <c r="I72" s="14"/>
      <c r="J72" s="14"/>
      <c r="K72" s="100"/>
      <c r="L72" s="102">
        <f t="shared" ref="L72" ca="1" si="16">IF(M72="ok",1,0)</f>
        <v>1</v>
      </c>
      <c r="M72" s="162" t="str">
        <f ca="1">IF(AND(C71&gt;=0.1,C72&gt;=C71),"ok",IF(AND(C71=0,C72=0),"ok",IF(AND(C71&gt;0.1,C72=0),"wrong",IF(AND(C71=0,C72&gt;0.1),"wrong"))))</f>
        <v>ok</v>
      </c>
    </row>
    <row r="73" spans="1:13">
      <c r="A73" s="101"/>
      <c r="B73" s="99" t="s">
        <v>562</v>
      </c>
      <c r="C73" s="98">
        <f>COUNTIF(Arddangosfeydd!$E$4:$E$99998,"Pren")</f>
        <v>0</v>
      </c>
      <c r="D73" s="14"/>
      <c r="E73" s="14"/>
      <c r="F73" s="14"/>
      <c r="G73" s="14"/>
      <c r="H73" s="14"/>
      <c r="I73" s="14"/>
      <c r="J73" s="14"/>
      <c r="K73" s="100"/>
      <c r="L73" s="102"/>
      <c r="M73" s="102"/>
    </row>
    <row r="74" spans="1:13">
      <c r="A74" s="101"/>
      <c r="B74" s="99" t="s">
        <v>563</v>
      </c>
      <c r="C74" s="98">
        <f ca="1">SUMIF(Arddangosfeydd!$E$4:$E$99998,"Pren",Arddangosfeydd!$F$4:$F$9998)</f>
        <v>0</v>
      </c>
      <c r="D74" s="102">
        <f ca="1">L74</f>
        <v>1</v>
      </c>
      <c r="E74" s="14"/>
      <c r="F74" s="14"/>
      <c r="G74" s="14"/>
      <c r="H74" s="14"/>
      <c r="I74" s="14"/>
      <c r="J74" s="14"/>
      <c r="K74" s="100"/>
      <c r="L74" s="102">
        <f t="shared" ref="L74" ca="1" si="17">IF(M74="ok",1,0)</f>
        <v>1</v>
      </c>
      <c r="M74" s="162" t="str">
        <f ca="1">IF(AND(C73&gt;=0.1,C74&gt;=C73),"ok",IF(AND(C73=0,C74=0),"ok",IF(AND(C73&gt;0.1,C74=0),"wrong",IF(AND(C73=0,C74&gt;0.1),"wrong"))))</f>
        <v>ok</v>
      </c>
    </row>
    <row r="75" spans="1:13" ht="26">
      <c r="A75" s="101"/>
      <c r="B75" s="99" t="s">
        <v>564</v>
      </c>
      <c r="C75" s="98">
        <f>COUNTIF(Arddangosfeydd!$E$4:$E$99998,"Metel/Arian")</f>
        <v>0</v>
      </c>
      <c r="D75" s="14"/>
      <c r="E75" s="14"/>
      <c r="F75" s="14"/>
      <c r="G75" s="14"/>
      <c r="H75" s="14"/>
      <c r="I75" s="14"/>
      <c r="J75" s="14"/>
      <c r="K75" s="100"/>
      <c r="L75" s="102"/>
      <c r="M75" s="102"/>
    </row>
    <row r="76" spans="1:13">
      <c r="A76" s="101"/>
      <c r="B76" s="99" t="s">
        <v>565</v>
      </c>
      <c r="C76" s="98">
        <f ca="1">SUMIF(Arddangosfeydd!$E$4:$E$99998,"Metel/Arian",Arddangosfeydd!$F$4:$F$9998)</f>
        <v>0</v>
      </c>
      <c r="D76" s="102">
        <f ca="1">L76</f>
        <v>1</v>
      </c>
      <c r="E76" s="14"/>
      <c r="F76" s="14"/>
      <c r="G76" s="14"/>
      <c r="H76" s="14"/>
      <c r="I76" s="14"/>
      <c r="J76" s="14"/>
      <c r="K76" s="100"/>
      <c r="L76" s="102">
        <f t="shared" ref="L76" ca="1" si="18">IF(M76="ok",1,0)</f>
        <v>1</v>
      </c>
      <c r="M76" s="162" t="str">
        <f ca="1">IF(AND(C75&gt;=0.1,C76&gt;=C75),"ok",IF(AND(C75=0,C76=0),"ok",IF(AND(C75&gt;0.1,C76=0),"wrong",IF(AND(C75=0,C76&gt;0.1),"wrong"))))</f>
        <v>ok</v>
      </c>
    </row>
    <row r="77" spans="1:13">
      <c r="A77" s="101"/>
      <c r="B77" s="99" t="s">
        <v>547</v>
      </c>
      <c r="C77" s="98">
        <f>COUNTIF(Arddangosfeydd!$E$4:$E$99998,"Arall")</f>
        <v>0</v>
      </c>
      <c r="D77" s="14"/>
      <c r="E77" s="14"/>
      <c r="F77" s="14"/>
      <c r="G77" s="14"/>
      <c r="H77" s="14"/>
      <c r="I77" s="14"/>
      <c r="J77" s="14"/>
      <c r="K77" s="100"/>
      <c r="L77" s="102"/>
      <c r="M77" s="102"/>
    </row>
    <row r="78" spans="1:13">
      <c r="A78" s="101"/>
      <c r="B78" s="99" t="s">
        <v>548</v>
      </c>
      <c r="C78" s="98">
        <f ca="1">SUMIF(Arddangosfeydd!$E$4:$E$99998,"Arall",Arddangosfeydd!$F$4:$F$9998)</f>
        <v>0</v>
      </c>
      <c r="D78" s="102">
        <f t="shared" ref="D78:D83" ca="1" si="19">L78</f>
        <v>1</v>
      </c>
      <c r="E78" s="14"/>
      <c r="F78" s="14"/>
      <c r="G78" s="14"/>
      <c r="H78" s="14"/>
      <c r="I78" s="14"/>
      <c r="J78" s="14"/>
      <c r="K78" s="100"/>
      <c r="L78" s="102">
        <f t="shared" ref="L78" ca="1" si="20">IF(M78="ok",1,0)</f>
        <v>1</v>
      </c>
      <c r="M78" s="162" t="str">
        <f ca="1">IF(AND(C77&gt;=0.1,C78&gt;=C77),"ok",IF(AND(C77=0,C78=0),"ok",IF(AND(C77&gt;0.1,C78=0),"wrong",IF(AND(C77=0,C78&gt;0.1),"wrong"))))</f>
        <v>ok</v>
      </c>
    </row>
    <row r="79" spans="1:13" ht="29">
      <c r="A79" s="101" t="s">
        <v>566</v>
      </c>
      <c r="B79" s="96" t="s">
        <v>567</v>
      </c>
      <c r="C79" s="98">
        <f>COUNTIF(Arddangosfeydd!$I$4:$I$99998,"Tarddwyd gan ein sefyldiad ni")</f>
        <v>0</v>
      </c>
      <c r="D79" s="102">
        <f t="shared" si="19"/>
        <v>1</v>
      </c>
      <c r="E79" s="14"/>
      <c r="F79" s="14"/>
      <c r="G79" s="14"/>
      <c r="H79" s="14"/>
      <c r="I79" s="14"/>
      <c r="J79" s="14"/>
      <c r="K79" s="100"/>
      <c r="L79" s="102">
        <f>IF(AND(M79 =M80, M80 = M80),1,0)</f>
        <v>1</v>
      </c>
      <c r="M79" s="164">
        <f>B4</f>
        <v>0</v>
      </c>
    </row>
    <row r="80" spans="1:13">
      <c r="A80" s="101"/>
      <c r="B80" s="96" t="s">
        <v>325</v>
      </c>
      <c r="C80" s="98">
        <f>COUNTIF(Arddangosfeydd!$I$4:$I$99998,"Derbyn fel arddangosfa teithiol")</f>
        <v>0</v>
      </c>
      <c r="D80" s="102">
        <f t="shared" si="19"/>
        <v>1</v>
      </c>
      <c r="E80" s="14"/>
      <c r="F80" s="14"/>
      <c r="G80" s="14"/>
      <c r="H80" s="14"/>
      <c r="I80" s="14"/>
      <c r="J80" s="14"/>
      <c r="K80" s="100"/>
      <c r="L80" s="102">
        <f>L79</f>
        <v>1</v>
      </c>
      <c r="M80" s="162">
        <f>SUM(C79:C80)</f>
        <v>0</v>
      </c>
    </row>
    <row r="81" spans="1:13">
      <c r="A81" s="101" t="s">
        <v>568</v>
      </c>
      <c r="B81" s="96" t="s">
        <v>569</v>
      </c>
      <c r="C81" s="98">
        <f>COUNTIF(Arddangosfeydd!$J$4:$J$99998,"Yng Nghymru ")</f>
        <v>0</v>
      </c>
      <c r="D81" s="102">
        <f t="shared" si="19"/>
        <v>1</v>
      </c>
      <c r="E81" s="14"/>
      <c r="F81" s="14"/>
      <c r="G81" s="14"/>
      <c r="H81" s="14"/>
      <c r="I81" s="14"/>
      <c r="J81" s="14"/>
      <c r="K81" s="100"/>
      <c r="L81" s="102">
        <f>IF(AND(M81 =M82, M82 = M82),1,0)</f>
        <v>1</v>
      </c>
      <c r="M81" s="102">
        <f>C80</f>
        <v>0</v>
      </c>
    </row>
    <row r="82" spans="1:13">
      <c r="A82" s="101"/>
      <c r="B82" s="96" t="s">
        <v>570</v>
      </c>
      <c r="C82" s="98">
        <f>COUNTIF(Arddangosfeydd!$J$4:$J$99998,"Ym Mhrydain, ac eithrio Cymru")</f>
        <v>0</v>
      </c>
      <c r="D82" s="102">
        <f t="shared" si="19"/>
        <v>1</v>
      </c>
      <c r="E82" s="14"/>
      <c r="F82" s="14"/>
      <c r="G82" s="14"/>
      <c r="H82" s="14"/>
      <c r="I82" s="14"/>
      <c r="J82" s="14"/>
      <c r="K82" s="100"/>
      <c r="L82" s="102">
        <f>L81</f>
        <v>1</v>
      </c>
      <c r="M82" s="102">
        <f>SUM(C81:C83)</f>
        <v>0</v>
      </c>
    </row>
    <row r="83" spans="1:13">
      <c r="A83" s="101"/>
      <c r="B83" s="96" t="s">
        <v>82</v>
      </c>
      <c r="C83" s="98">
        <f>COUNTIF(Arddangosfeydd!$J$4:$J$99998,"Tu allan i Brydain")</f>
        <v>0</v>
      </c>
      <c r="D83" s="102">
        <f t="shared" si="19"/>
        <v>1</v>
      </c>
      <c r="E83" s="14"/>
      <c r="F83" s="14"/>
      <c r="G83" s="14"/>
      <c r="H83" s="14"/>
      <c r="I83" s="14"/>
      <c r="J83" s="14"/>
      <c r="K83" s="100"/>
      <c r="L83" s="102">
        <f>L82</f>
        <v>1</v>
      </c>
      <c r="M83" s="102"/>
    </row>
    <row r="84" spans="1:13">
      <c r="A84" s="101" t="s">
        <v>571</v>
      </c>
      <c r="B84" s="96" t="s">
        <v>154</v>
      </c>
      <c r="C84" s="98">
        <f>COUNTIF(Arddangosfeydd!$K$4:$K$99998,"Oedd")</f>
        <v>0</v>
      </c>
      <c r="D84" s="102"/>
      <c r="E84" s="14"/>
      <c r="F84" s="14"/>
      <c r="G84" s="14"/>
      <c r="H84" s="14"/>
      <c r="I84" s="14"/>
      <c r="J84" s="14"/>
      <c r="K84" s="100"/>
      <c r="L84" s="102"/>
      <c r="M84" s="102"/>
    </row>
    <row r="85" spans="1:13">
      <c r="A85" s="101" t="s">
        <v>299</v>
      </c>
      <c r="B85" s="96" t="s">
        <v>572</v>
      </c>
      <c r="C85" s="98">
        <f>COUNTIF(Arddangosfeydd!$K:$K,"Arddangosfa un person")</f>
        <v>0</v>
      </c>
      <c r="D85" s="102">
        <f ca="1">L85</f>
        <v>1</v>
      </c>
      <c r="E85" s="14"/>
      <c r="F85" s="14"/>
      <c r="G85" s="14"/>
      <c r="H85" s="14"/>
      <c r="I85" s="14"/>
      <c r="J85" s="14"/>
      <c r="K85" s="100"/>
      <c r="L85" s="102">
        <f ca="1">IF(SUM($C$78:$C$79) = $B$4,1,0)</f>
        <v>1</v>
      </c>
      <c r="M85" s="165">
        <f>M79</f>
        <v>0</v>
      </c>
    </row>
    <row r="86" spans="1:13">
      <c r="A86" s="101"/>
      <c r="B86" s="96" t="s">
        <v>573</v>
      </c>
      <c r="C86" s="98">
        <f>COUNTIF(Arddangosfeydd!$K:$K,"Arddangosfa grŵp")</f>
        <v>0</v>
      </c>
      <c r="D86" s="102">
        <f ca="1">L86</f>
        <v>1</v>
      </c>
      <c r="E86" s="14"/>
      <c r="F86" s="14"/>
      <c r="G86" s="14"/>
      <c r="H86" s="14"/>
      <c r="I86" s="14"/>
      <c r="J86" s="14"/>
      <c r="K86" s="100"/>
      <c r="L86" s="102">
        <f ca="1">IF(SUM($C$78:$C$79) = $B$4,1,0)</f>
        <v>1</v>
      </c>
      <c r="M86" s="102">
        <f>SUM(C85:C85)</f>
        <v>0</v>
      </c>
    </row>
    <row r="87" spans="1:13" ht="29">
      <c r="A87" s="101" t="s">
        <v>574</v>
      </c>
      <c r="B87" s="96" t="s">
        <v>575</v>
      </c>
      <c r="C87" s="98">
        <f>SUM(Arddangosfeydd!$M:$M)</f>
        <v>0</v>
      </c>
      <c r="D87" s="14"/>
      <c r="E87" s="14"/>
      <c r="F87" s="14"/>
      <c r="G87" s="14"/>
      <c r="H87" s="14"/>
      <c r="I87" s="14"/>
      <c r="J87" s="14"/>
      <c r="K87" s="100"/>
      <c r="L87" s="102"/>
      <c r="M87" s="102"/>
    </row>
    <row r="88" spans="1:13" ht="29">
      <c r="A88" s="101" t="s">
        <v>576</v>
      </c>
      <c r="B88" s="96" t="s">
        <v>577</v>
      </c>
      <c r="C88" s="98">
        <f>SUM(Arddangosfeydd!$N:$N)</f>
        <v>0</v>
      </c>
      <c r="D88" s="102">
        <f>L88</f>
        <v>1</v>
      </c>
      <c r="E88" s="14"/>
      <c r="F88" s="14"/>
      <c r="G88" s="14"/>
      <c r="H88" s="14"/>
      <c r="I88" s="14"/>
      <c r="J88" s="14"/>
      <c r="K88" s="100"/>
      <c r="L88" s="162">
        <f>IF(M88="ok",1,0)</f>
        <v>1</v>
      </c>
      <c r="M88" s="102" t="str">
        <f>IF(C88&lt;=C87, "ok", "wrong")</f>
        <v>ok</v>
      </c>
    </row>
    <row r="89" spans="1:13">
      <c r="A89" s="101" t="s">
        <v>578</v>
      </c>
      <c r="B89" s="101" t="s">
        <v>80</v>
      </c>
      <c r="C89" s="98">
        <f>COUNTIF(Arddangosfeydd!$P$4:$P$99998,"Do")</f>
        <v>0</v>
      </c>
      <c r="D89" s="102">
        <f>L89</f>
        <v>1</v>
      </c>
      <c r="E89" s="14"/>
      <c r="F89" s="14"/>
      <c r="G89" s="14"/>
      <c r="H89" s="14"/>
      <c r="I89" s="14"/>
      <c r="J89" s="14"/>
      <c r="K89" s="100"/>
      <c r="L89" s="162">
        <f>IF(M89="ok",1,0)</f>
        <v>1</v>
      </c>
      <c r="M89" s="102" t="str">
        <f>IF(SUM(C89:C91)&lt;=M79,"ok","wrong")</f>
        <v>ok</v>
      </c>
    </row>
    <row r="90" spans="1:13">
      <c r="A90" s="101"/>
      <c r="B90" s="101" t="s">
        <v>579</v>
      </c>
      <c r="C90" s="98">
        <f>COUNTIF(Arddangosfeydd!$Q$4:$Q$99998,"Do")</f>
        <v>0</v>
      </c>
      <c r="D90" s="102">
        <f>L90</f>
        <v>1</v>
      </c>
      <c r="E90" s="14"/>
      <c r="F90" s="14"/>
      <c r="G90" s="14"/>
      <c r="H90" s="14"/>
      <c r="I90" s="14"/>
      <c r="J90" s="14"/>
      <c r="K90" s="100"/>
      <c r="L90" s="162">
        <f>IF(M89="ok",1,0)</f>
        <v>1</v>
      </c>
      <c r="M90" s="102"/>
    </row>
    <row r="91" spans="1:13">
      <c r="A91" s="101"/>
      <c r="B91" s="101" t="s">
        <v>82</v>
      </c>
      <c r="C91" s="98">
        <f>COUNTIF(Arddangosfeydd!$R$4:$R$99998,"Do")</f>
        <v>0</v>
      </c>
      <c r="D91" s="102">
        <f>L91</f>
        <v>1</v>
      </c>
      <c r="E91" s="14"/>
      <c r="F91" s="14"/>
      <c r="G91" s="14"/>
      <c r="H91" s="14"/>
      <c r="I91" s="14"/>
      <c r="J91" s="14"/>
      <c r="K91" s="100"/>
      <c r="L91" s="162">
        <f>IF(M89="ok",1,0)</f>
        <v>1</v>
      </c>
      <c r="M91" s="102"/>
    </row>
    <row r="92" spans="1:13" ht="43.5">
      <c r="A92" s="101" t="s">
        <v>580</v>
      </c>
      <c r="B92" s="101" t="s">
        <v>581</v>
      </c>
      <c r="C92" s="98">
        <f>COUNTIF(Arddangosfeydd!$V$4:$V$99998,"Oedd")</f>
        <v>0</v>
      </c>
      <c r="D92" s="14"/>
      <c r="E92" s="14"/>
      <c r="F92" s="14"/>
      <c r="G92" s="14"/>
      <c r="H92" s="14"/>
      <c r="I92" s="14"/>
      <c r="J92" s="14"/>
      <c r="K92" s="100"/>
      <c r="L92" s="102"/>
      <c r="M92" s="102"/>
    </row>
    <row r="93" spans="1:13" ht="29">
      <c r="A93" s="101"/>
      <c r="B93" s="101" t="s">
        <v>582</v>
      </c>
      <c r="C93" s="98">
        <f>COUNTIF(Arddangosfeydd!$X$4:$X$99998,"Oedd")</f>
        <v>0</v>
      </c>
      <c r="D93" s="14"/>
      <c r="E93" s="14"/>
      <c r="F93" s="14"/>
      <c r="G93" s="14"/>
      <c r="H93" s="14"/>
      <c r="I93" s="14"/>
      <c r="J93" s="14"/>
      <c r="K93" s="100"/>
      <c r="L93" s="102"/>
      <c r="M93" s="102"/>
    </row>
    <row r="94" spans="1:13" ht="29">
      <c r="A94" s="101" t="s">
        <v>583</v>
      </c>
      <c r="B94" s="101" t="s">
        <v>83</v>
      </c>
      <c r="C94" s="98">
        <f>COUNTIF(Arddangosfeydd!$Y$4:$Y$99998,"Ie")</f>
        <v>0</v>
      </c>
      <c r="D94" s="157"/>
      <c r="E94" s="157"/>
      <c r="F94" s="157"/>
      <c r="G94" s="14"/>
      <c r="H94" s="14"/>
      <c r="I94" s="14"/>
      <c r="J94" s="14"/>
      <c r="K94" s="100"/>
      <c r="L94" s="102"/>
      <c r="M94" s="102"/>
    </row>
    <row r="95" spans="1:13">
      <c r="A95" s="101"/>
      <c r="B95" s="101" t="s">
        <v>84</v>
      </c>
      <c r="C95" s="98">
        <f>COUNTIF(Arddangosfeydd!$Z$4:$Z$99998,"Ie")</f>
        <v>0</v>
      </c>
      <c r="D95" s="14"/>
      <c r="E95" s="14"/>
      <c r="F95" s="14"/>
      <c r="G95" s="14"/>
      <c r="H95" s="14"/>
      <c r="I95" s="14"/>
      <c r="J95" s="14"/>
      <c r="K95" s="100"/>
      <c r="L95" s="102"/>
      <c r="M95" s="102"/>
    </row>
    <row r="96" spans="1:13">
      <c r="A96" s="101"/>
      <c r="B96" s="101" t="s">
        <v>85</v>
      </c>
      <c r="C96" s="98">
        <f>COUNTIF(Arddangosfeydd!$AA$4:$AA$99998,"Ie")</f>
        <v>0</v>
      </c>
      <c r="D96" s="14"/>
      <c r="E96" s="14"/>
      <c r="F96" s="14"/>
      <c r="G96" s="14"/>
      <c r="H96" s="14"/>
      <c r="I96" s="14"/>
      <c r="J96" s="14"/>
      <c r="K96" s="100"/>
      <c r="L96" s="102"/>
      <c r="M96" s="102"/>
    </row>
    <row r="97" spans="1:13">
      <c r="A97" s="101"/>
      <c r="B97" s="101" t="s">
        <v>86</v>
      </c>
      <c r="C97" s="98">
        <f>COUNTIF(Arddangosfeydd!$AB$4:$AB$99998,"Ie")</f>
        <v>0</v>
      </c>
      <c r="D97" s="14"/>
      <c r="E97" s="14"/>
      <c r="F97" s="14"/>
      <c r="G97" s="14"/>
      <c r="H97" s="14"/>
      <c r="I97" s="14"/>
      <c r="J97" s="14"/>
      <c r="K97" s="100"/>
      <c r="L97" s="102"/>
      <c r="M97" s="102"/>
    </row>
    <row r="98" spans="1:13">
      <c r="A98" s="101"/>
      <c r="B98" s="101" t="s">
        <v>87</v>
      </c>
      <c r="C98" s="98">
        <f>COUNTIF(Arddangosfeydd!$AC$4:$AC$99998,"Ie")</f>
        <v>0</v>
      </c>
      <c r="D98" s="14"/>
      <c r="E98" s="14"/>
      <c r="F98" s="14"/>
      <c r="G98" s="14"/>
      <c r="H98" s="14"/>
      <c r="I98" s="14"/>
      <c r="J98" s="14"/>
      <c r="K98" s="100"/>
      <c r="L98" s="102"/>
      <c r="M98" s="102"/>
    </row>
    <row r="99" spans="1:13" ht="29">
      <c r="A99" s="101" t="s">
        <v>584</v>
      </c>
      <c r="B99" s="101" t="s">
        <v>491</v>
      </c>
      <c r="C99" s="98">
        <f>COUNTIF(Arddangosfeydd!$AE$4:$AE$99998,"Do")</f>
        <v>0</v>
      </c>
      <c r="D99" s="14"/>
      <c r="E99" s="14"/>
      <c r="F99" s="14"/>
      <c r="G99" s="14"/>
      <c r="H99" s="14"/>
      <c r="I99" s="14"/>
      <c r="J99" s="14"/>
      <c r="K99" s="100"/>
      <c r="L99" s="102"/>
      <c r="M99" s="102"/>
    </row>
    <row r="100" spans="1:13">
      <c r="A100" s="101"/>
      <c r="B100" s="101" t="s">
        <v>585</v>
      </c>
      <c r="C100" s="98">
        <f>COUNTIF(Arddangosfeydd!$AF$4:$AF$99998,"Do")</f>
        <v>0</v>
      </c>
      <c r="D100" s="14"/>
      <c r="E100" s="14"/>
      <c r="F100" s="14"/>
      <c r="G100" s="14"/>
      <c r="H100" s="14"/>
      <c r="I100" s="14"/>
      <c r="J100" s="14"/>
      <c r="K100" s="100"/>
      <c r="L100" s="102"/>
      <c r="M100" s="102"/>
    </row>
    <row r="101" spans="1:13">
      <c r="A101" s="101"/>
      <c r="B101" s="101" t="s">
        <v>90</v>
      </c>
      <c r="C101" s="98">
        <f>COUNTIF(Arddangosfeydd!$AG$4:$AG$99998,"Do")</f>
        <v>0</v>
      </c>
      <c r="D101" s="14"/>
      <c r="E101" s="14"/>
      <c r="F101" s="14"/>
      <c r="G101" s="14"/>
      <c r="H101" s="14"/>
      <c r="I101" s="14"/>
      <c r="J101" s="14"/>
      <c r="K101" s="100"/>
      <c r="L101" s="102"/>
      <c r="M101" s="102"/>
    </row>
    <row r="102" spans="1:13">
      <c r="A102" s="101"/>
      <c r="B102" s="101" t="s">
        <v>586</v>
      </c>
      <c r="C102" s="98">
        <f>COUNTIF(Arddangosfeydd!$AH$4:$AH$99998,"Do")</f>
        <v>0</v>
      </c>
      <c r="D102" s="14"/>
      <c r="E102" s="14"/>
      <c r="F102" s="14"/>
      <c r="G102" s="14"/>
      <c r="H102" s="14"/>
      <c r="I102" s="14"/>
      <c r="J102" s="14"/>
      <c r="K102" s="100"/>
      <c r="L102" s="102"/>
      <c r="M102" s="102"/>
    </row>
    <row r="103" spans="1:13">
      <c r="A103" s="101"/>
      <c r="B103" s="101" t="s">
        <v>587</v>
      </c>
      <c r="C103" s="98">
        <f>COUNTIF(Arddangosfeydd!$AI$4:$AI$99998,"Do")</f>
        <v>0</v>
      </c>
      <c r="D103" s="14"/>
      <c r="E103" s="14"/>
      <c r="F103" s="14"/>
      <c r="G103" s="14"/>
      <c r="H103" s="14"/>
      <c r="I103" s="14"/>
      <c r="J103" s="14"/>
      <c r="K103" s="100"/>
      <c r="L103" s="102"/>
      <c r="M103" s="102"/>
    </row>
    <row r="104" spans="1:13">
      <c r="A104" s="101"/>
      <c r="B104" s="101" t="s">
        <v>588</v>
      </c>
      <c r="C104" s="98">
        <f>COUNTIF(Arddangosfeydd!$AJ$4:$AJ$99998,"Do")</f>
        <v>0</v>
      </c>
      <c r="D104" s="14"/>
      <c r="E104" s="14"/>
      <c r="F104" s="14"/>
      <c r="G104" s="14"/>
      <c r="H104" s="14"/>
      <c r="I104" s="14"/>
      <c r="J104" s="14"/>
      <c r="K104" s="100"/>
      <c r="L104" s="102"/>
      <c r="M104" s="102"/>
    </row>
    <row r="105" spans="1:13">
      <c r="A105" s="101"/>
      <c r="B105" s="101" t="s">
        <v>589</v>
      </c>
      <c r="C105" s="98">
        <f>COUNTIF(Arddangosfeydd!$AK$4:$AK$99998,"Do")</f>
        <v>0</v>
      </c>
      <c r="D105" s="14"/>
      <c r="E105" s="14"/>
      <c r="F105" s="14"/>
      <c r="G105" s="14"/>
      <c r="H105" s="14"/>
      <c r="I105" s="14"/>
      <c r="J105" s="14"/>
      <c r="K105" s="100"/>
      <c r="L105" s="102"/>
      <c r="M105" s="102"/>
    </row>
    <row r="106" spans="1:13">
      <c r="A106" s="101"/>
      <c r="B106" s="101" t="s">
        <v>590</v>
      </c>
      <c r="C106" s="98">
        <f>COUNTIF(Arddangosfeydd!$AL$4:$AL$99998,"Do")</f>
        <v>0</v>
      </c>
      <c r="D106" s="14"/>
      <c r="E106" s="14"/>
      <c r="F106" s="14"/>
      <c r="G106" s="14"/>
      <c r="H106" s="14"/>
      <c r="I106" s="14"/>
      <c r="J106" s="14"/>
      <c r="K106" s="100"/>
      <c r="L106" s="102"/>
      <c r="M106" s="102"/>
    </row>
    <row r="107" spans="1:13">
      <c r="A107" s="101"/>
      <c r="B107" s="101" t="s">
        <v>96</v>
      </c>
      <c r="C107" s="98">
        <f>COUNTIF(Arddangosfeydd!$AM$4:$AM$99998,"Do")</f>
        <v>0</v>
      </c>
      <c r="D107" s="14"/>
      <c r="E107" s="14"/>
      <c r="F107" s="14"/>
      <c r="G107" s="14"/>
      <c r="H107" s="14"/>
      <c r="I107" s="14"/>
      <c r="J107" s="14"/>
      <c r="K107" s="100"/>
      <c r="L107" s="102"/>
      <c r="M107" s="102"/>
    </row>
    <row r="108" spans="1:13">
      <c r="A108" s="101"/>
      <c r="B108" s="101" t="s">
        <v>97</v>
      </c>
      <c r="C108" s="98">
        <f>COUNTIF(Arddangosfeydd!$AN$4:$AN$99998,"Do")</f>
        <v>0</v>
      </c>
      <c r="D108" s="14"/>
      <c r="E108" s="14"/>
      <c r="F108" s="14"/>
      <c r="G108" s="14"/>
      <c r="H108" s="14"/>
      <c r="I108" s="14"/>
      <c r="J108" s="14"/>
      <c r="K108" s="100"/>
      <c r="L108" s="102"/>
      <c r="M108" s="102"/>
    </row>
    <row r="109" spans="1:13" ht="29">
      <c r="A109" s="101" t="s">
        <v>591</v>
      </c>
      <c r="B109" s="101" t="s">
        <v>491</v>
      </c>
      <c r="C109" s="98">
        <f>COUNTIF(Arddangosfeydd!$AO$4:$AO$99998,"Do")</f>
        <v>0</v>
      </c>
      <c r="D109" s="14"/>
      <c r="E109" s="14"/>
      <c r="F109" s="14"/>
      <c r="G109" s="14"/>
      <c r="H109" s="14"/>
      <c r="I109" s="14"/>
      <c r="J109" s="14"/>
      <c r="K109" s="100"/>
      <c r="L109" s="102"/>
      <c r="M109" s="102"/>
    </row>
    <row r="110" spans="1:13">
      <c r="A110" s="101"/>
      <c r="B110" s="101" t="s">
        <v>585</v>
      </c>
      <c r="C110" s="98">
        <f>COUNTIF(Arddangosfeydd!$AP$4:$AP$99998,"Do")</f>
        <v>0</v>
      </c>
      <c r="D110" s="14"/>
      <c r="E110" s="14"/>
      <c r="F110" s="14"/>
      <c r="G110" s="14"/>
      <c r="H110" s="14"/>
      <c r="I110" s="14"/>
      <c r="J110" s="14"/>
      <c r="K110" s="100"/>
      <c r="L110" s="102"/>
      <c r="M110" s="102"/>
    </row>
    <row r="111" spans="1:13">
      <c r="A111" s="101"/>
      <c r="B111" s="101" t="s">
        <v>90</v>
      </c>
      <c r="C111" s="98">
        <f>COUNTIF(Arddangosfeydd!$AQ$4:$AQ$99998,"Do")</f>
        <v>0</v>
      </c>
      <c r="D111" s="14"/>
      <c r="E111" s="14"/>
      <c r="F111" s="14"/>
      <c r="G111" s="14"/>
      <c r="H111" s="14"/>
      <c r="I111" s="14"/>
      <c r="J111" s="14"/>
      <c r="K111" s="100"/>
      <c r="L111" s="102"/>
      <c r="M111" s="102"/>
    </row>
    <row r="112" spans="1:13">
      <c r="A112" s="101"/>
      <c r="B112" s="101" t="s">
        <v>586</v>
      </c>
      <c r="C112" s="98">
        <f>COUNTIF(Arddangosfeydd!$AR$4:$AR$99998,"Do")</f>
        <v>0</v>
      </c>
      <c r="D112" s="14"/>
      <c r="E112" s="14"/>
      <c r="F112" s="14"/>
      <c r="G112" s="14"/>
      <c r="H112" s="14"/>
      <c r="I112" s="14"/>
      <c r="J112" s="14"/>
      <c r="K112" s="100"/>
      <c r="L112" s="102"/>
      <c r="M112" s="102"/>
    </row>
    <row r="113" spans="1:13">
      <c r="A113" s="101"/>
      <c r="B113" s="101" t="s">
        <v>587</v>
      </c>
      <c r="C113" s="98">
        <f>COUNTIF(Arddangosfeydd!$AS$4:$AS$99998,"Do")</f>
        <v>0</v>
      </c>
      <c r="D113" s="14"/>
      <c r="E113" s="14"/>
      <c r="F113" s="14"/>
      <c r="G113" s="14"/>
      <c r="H113" s="14"/>
      <c r="I113" s="14"/>
      <c r="J113" s="14"/>
      <c r="K113" s="100"/>
      <c r="L113" s="102"/>
      <c r="M113" s="102"/>
    </row>
    <row r="114" spans="1:13">
      <c r="A114" s="101"/>
      <c r="B114" s="101" t="s">
        <v>588</v>
      </c>
      <c r="C114" s="98">
        <f>COUNTIF(Arddangosfeydd!$AT$4:$AT$99998,"Do")</f>
        <v>0</v>
      </c>
      <c r="D114" s="14"/>
      <c r="E114" s="14"/>
      <c r="F114" s="14"/>
      <c r="G114" s="14"/>
      <c r="H114" s="14"/>
      <c r="I114" s="14"/>
      <c r="J114" s="14"/>
      <c r="K114" s="100"/>
      <c r="L114" s="102"/>
      <c r="M114" s="102"/>
    </row>
    <row r="115" spans="1:13">
      <c r="A115" s="101"/>
      <c r="B115" s="101" t="s">
        <v>589</v>
      </c>
      <c r="C115" s="98">
        <f>COUNTIF(Arddangosfeydd!$AU$4:$AU$99998,"Do")</f>
        <v>0</v>
      </c>
      <c r="D115" s="14"/>
      <c r="E115" s="14"/>
      <c r="F115" s="14"/>
      <c r="G115" s="14"/>
      <c r="H115" s="14"/>
      <c r="I115" s="14"/>
      <c r="J115" s="14"/>
      <c r="K115" s="100"/>
      <c r="L115" s="102"/>
      <c r="M115" s="102"/>
    </row>
    <row r="116" spans="1:13">
      <c r="A116" s="101"/>
      <c r="B116" s="101" t="s">
        <v>590</v>
      </c>
      <c r="C116" s="98">
        <f>COUNTIF(Arddangosfeydd!$AV$4:$AV$99998,"Do")</f>
        <v>0</v>
      </c>
      <c r="D116" s="14"/>
      <c r="E116" s="14"/>
      <c r="F116" s="14"/>
      <c r="G116" s="14"/>
      <c r="H116" s="14"/>
      <c r="I116" s="14"/>
      <c r="J116" s="14"/>
      <c r="K116" s="100"/>
      <c r="L116" s="102"/>
      <c r="M116" s="102"/>
    </row>
    <row r="117" spans="1:13">
      <c r="A117" s="101"/>
      <c r="B117" s="101" t="s">
        <v>96</v>
      </c>
      <c r="C117" s="98">
        <f>COUNTIF(Arddangosfeydd!$AW$4:$AW$99998,"Do")</f>
        <v>0</v>
      </c>
      <c r="D117" s="14"/>
      <c r="E117" s="14"/>
      <c r="F117" s="14"/>
      <c r="G117" s="14"/>
      <c r="H117" s="14"/>
      <c r="I117" s="14"/>
      <c r="J117" s="14"/>
      <c r="K117" s="100"/>
      <c r="L117" s="102"/>
      <c r="M117" s="102"/>
    </row>
    <row r="118" spans="1:13">
      <c r="A118" s="101"/>
      <c r="B118" s="101" t="s">
        <v>97</v>
      </c>
      <c r="C118" s="98">
        <f>COUNTIF(Arddangosfeydd!$AX$4:$AX$99998,"Do")</f>
        <v>0</v>
      </c>
      <c r="D118" s="14"/>
      <c r="E118" s="14"/>
      <c r="F118" s="14"/>
      <c r="G118" s="14"/>
      <c r="H118" s="14"/>
      <c r="I118" s="14"/>
      <c r="J118" s="14"/>
      <c r="K118" s="100"/>
      <c r="L118" s="102"/>
      <c r="M118" s="102"/>
    </row>
    <row r="119" spans="1:13">
      <c r="A119" s="101" t="s">
        <v>592</v>
      </c>
      <c r="B119" s="101" t="s">
        <v>593</v>
      </c>
      <c r="C119" s="98">
        <f>COUNTIF(Arddangosfeydd!$AY$4:$AY$99998,"Do")</f>
        <v>0</v>
      </c>
      <c r="D119" s="14"/>
      <c r="E119" s="14"/>
      <c r="F119" s="14"/>
      <c r="G119" s="14"/>
      <c r="H119" s="14"/>
      <c r="I119" s="14"/>
      <c r="J119" s="14"/>
      <c r="K119" s="100"/>
      <c r="L119" s="102"/>
      <c r="M119" s="102"/>
    </row>
    <row r="120" spans="1:13">
      <c r="A120" s="101"/>
      <c r="B120" s="101" t="s">
        <v>594</v>
      </c>
      <c r="C120" s="98">
        <f>COUNTIF(Arddangosfeydd!$AZ$4:$AZ$99998,"Do")</f>
        <v>0</v>
      </c>
      <c r="D120" s="14"/>
      <c r="E120" s="14"/>
      <c r="F120" s="14"/>
      <c r="G120" s="14"/>
      <c r="H120" s="14"/>
      <c r="I120" s="14"/>
      <c r="J120" s="14"/>
      <c r="K120" s="100"/>
      <c r="L120" s="102"/>
      <c r="M120" s="102"/>
    </row>
    <row r="121" spans="1:13">
      <c r="A121" s="101"/>
      <c r="B121" s="101" t="s">
        <v>595</v>
      </c>
      <c r="C121" s="98">
        <f>COUNTIF(Arddangosfeydd!$BA$4:$BA$99998,"Do")</f>
        <v>0</v>
      </c>
      <c r="D121" s="14"/>
      <c r="E121" s="14"/>
      <c r="F121" s="14"/>
      <c r="G121" s="14"/>
      <c r="H121" s="14"/>
      <c r="I121" s="14"/>
      <c r="J121" s="14"/>
      <c r="K121" s="100"/>
      <c r="L121" s="102"/>
      <c r="M121" s="102"/>
    </row>
    <row r="122" spans="1:13">
      <c r="A122" s="101"/>
      <c r="B122" s="101" t="s">
        <v>596</v>
      </c>
      <c r="C122" s="98">
        <f>COUNTIF(Arddangosfeydd!$BB$4:$BB$99998,"Do")</f>
        <v>0</v>
      </c>
      <c r="D122" s="14"/>
      <c r="E122" s="14"/>
      <c r="F122" s="14"/>
      <c r="G122" s="14"/>
      <c r="H122" s="14"/>
      <c r="I122" s="14"/>
      <c r="J122" s="14"/>
      <c r="K122" s="100"/>
      <c r="L122" s="102"/>
      <c r="M122" s="102"/>
    </row>
    <row r="123" spans="1:13">
      <c r="A123" s="101"/>
      <c r="B123" s="101" t="s">
        <v>597</v>
      </c>
      <c r="C123" s="98">
        <f>COUNTIF(Arddangosfeydd!$BC$4:$BC$99998,"Do")</f>
        <v>0</v>
      </c>
      <c r="D123" s="14"/>
      <c r="E123" s="14"/>
      <c r="F123" s="14"/>
      <c r="G123" s="14"/>
      <c r="H123" s="14"/>
      <c r="I123" s="14"/>
      <c r="J123" s="14"/>
      <c r="K123" s="100"/>
      <c r="L123" s="102"/>
      <c r="M123" s="102"/>
    </row>
    <row r="124" spans="1:13" ht="29">
      <c r="A124" s="101"/>
      <c r="B124" s="101" t="s">
        <v>598</v>
      </c>
      <c r="C124" s="98">
        <f>COUNTIF(Arddangosfeydd!$BD$4:$BD$99998,"Do")</f>
        <v>0</v>
      </c>
      <c r="D124" s="14"/>
      <c r="E124" s="14"/>
      <c r="F124" s="14"/>
      <c r="G124" s="14"/>
      <c r="H124" s="14"/>
      <c r="I124" s="14"/>
      <c r="J124" s="14"/>
      <c r="K124" s="100"/>
      <c r="L124" s="102"/>
      <c r="M124" s="102"/>
    </row>
    <row r="125" spans="1:13" ht="16">
      <c r="A125" s="90"/>
      <c r="B125" s="90"/>
      <c r="C125" s="90"/>
      <c r="D125" s="14"/>
      <c r="E125" s="14"/>
      <c r="F125" s="14"/>
      <c r="G125" s="14"/>
      <c r="H125" s="14"/>
      <c r="I125" s="14"/>
      <c r="J125" s="14"/>
      <c r="K125" s="100"/>
      <c r="L125" s="102"/>
      <c r="M125" s="102"/>
    </row>
    <row r="126" spans="1:13" ht="16">
      <c r="A126" s="103" t="s">
        <v>513</v>
      </c>
      <c r="B126" s="155"/>
      <c r="C126" s="155"/>
      <c r="D126" s="14"/>
      <c r="E126" s="14"/>
      <c r="F126" s="14"/>
      <c r="G126" s="14"/>
      <c r="H126" s="14"/>
      <c r="I126" s="14"/>
      <c r="J126" s="14"/>
      <c r="K126" s="100"/>
      <c r="L126" s="102"/>
      <c r="M126" s="102"/>
    </row>
    <row r="127" spans="1:13">
      <c r="A127" s="155" t="s">
        <v>523</v>
      </c>
      <c r="B127" s="104" t="s">
        <v>599</v>
      </c>
      <c r="C127" s="105">
        <f>SUMIF('CH&amp;YP Gweithgaredd'!D:D,"Sesiwn ddigidol fyw",'CH&amp;YP Gweithgaredd'!E:I)</f>
        <v>0</v>
      </c>
      <c r="D127" s="158">
        <f>L127</f>
        <v>1</v>
      </c>
      <c r="E127" s="14"/>
      <c r="F127" s="14"/>
      <c r="G127" s="14"/>
      <c r="H127" s="14"/>
      <c r="I127" s="14"/>
      <c r="J127" s="14"/>
      <c r="K127" s="100"/>
      <c r="L127" s="102">
        <f>IF(M127="ok",1,0)</f>
        <v>1</v>
      </c>
      <c r="M127" s="102" t="str">
        <f>IF(AND(C127&gt;=0.1,SUM(C128)&gt;=C127),"ok",IF(AND(C127=0,SUM(C128)=0),"ok",IF(AND(C127&gt;0.1,SUM(C128)=0),"wrong",IF(AND(C127=0,SUM(C128)&gt;0.1),"wrong"))))</f>
        <v>ok</v>
      </c>
    </row>
    <row r="128" spans="1:13">
      <c r="A128" s="155"/>
      <c r="B128" s="104" t="s">
        <v>600</v>
      </c>
      <c r="C128" s="105">
        <f>SUMIF('CH&amp;YP Gweithgaredd'!D:D,"Sesiwn ddigidol fyw",'CH&amp;YP Gweithgaredd'!J:N)</f>
        <v>0</v>
      </c>
      <c r="D128" s="158">
        <f t="shared" ref="D128:D136" si="21">L128</f>
        <v>1</v>
      </c>
      <c r="E128" s="14"/>
      <c r="F128" s="14"/>
      <c r="G128" s="14"/>
      <c r="H128" s="14"/>
      <c r="I128" s="14"/>
      <c r="J128" s="14"/>
      <c r="K128" s="100"/>
      <c r="L128" s="102">
        <f t="shared" ref="L128:L136" si="22">IF(M128="ok",1,0)</f>
        <v>1</v>
      </c>
      <c r="M128" s="102" t="str">
        <f>IF(C127&lt;=C128,"ok","wrong")</f>
        <v>ok</v>
      </c>
    </row>
    <row r="129" spans="1:13">
      <c r="A129" s="155"/>
      <c r="B129" s="104" t="s">
        <v>601</v>
      </c>
      <c r="C129" s="105">
        <f>SUMIF('CH&amp;YP Gweithgaredd'!D:D,"sesiwn ddigidol wedi'i recordio ymlaen llaw",'CH&amp;YP Gweithgaredd'!E:I)</f>
        <v>0</v>
      </c>
      <c r="D129" s="158">
        <f t="shared" si="21"/>
        <v>1</v>
      </c>
      <c r="E129" s="14"/>
      <c r="F129" s="14"/>
      <c r="G129" s="14"/>
      <c r="H129" s="14"/>
      <c r="I129" s="14"/>
      <c r="J129" s="14"/>
      <c r="K129" s="100"/>
      <c r="L129" s="102">
        <f t="shared" si="22"/>
        <v>1</v>
      </c>
      <c r="M129" s="102" t="str">
        <f t="shared" ref="M129:M131" si="23">IF(AND(C129&gt;=0.1,SUM(C130)&gt;=C129),"ok",IF(AND(C129=0,SUM(C130)=0),"ok",IF(AND(C129&gt;0.1,SUM(C130)=0),"wrong",IF(AND(C129=0,SUM(C130)&gt;0.1),"wrong"))))</f>
        <v>ok</v>
      </c>
    </row>
    <row r="130" spans="1:13">
      <c r="A130" s="155"/>
      <c r="B130" s="104" t="s">
        <v>602</v>
      </c>
      <c r="C130" s="105">
        <f>SUMIF('CH&amp;YP Gweithgaredd'!D:D,"sesiwn ddigidol wedi'i recordio ymlaen llaw",'CH&amp;YP Gweithgaredd'!J:N)</f>
        <v>0</v>
      </c>
      <c r="D130" s="158">
        <f t="shared" si="21"/>
        <v>1</v>
      </c>
      <c r="E130" s="14"/>
      <c r="F130" s="14"/>
      <c r="G130" s="14"/>
      <c r="H130" s="14"/>
      <c r="I130" s="14"/>
      <c r="J130" s="14"/>
      <c r="K130" s="100"/>
      <c r="L130" s="102">
        <f t="shared" si="22"/>
        <v>1</v>
      </c>
      <c r="M130" s="102" t="str">
        <f>IF(C129&lt;=C130,"ok","wrong")</f>
        <v>ok</v>
      </c>
    </row>
    <row r="131" spans="1:13">
      <c r="A131" s="155"/>
      <c r="B131" s="104" t="s">
        <v>603</v>
      </c>
      <c r="C131" s="105">
        <f>SUMIF('CH&amp;YP Gweithgaredd'!D:D,"sesiwn wyneb yn wyneb",'CH&amp;YP Gweithgaredd'!E:I)</f>
        <v>0</v>
      </c>
      <c r="D131" s="158">
        <f t="shared" si="21"/>
        <v>1</v>
      </c>
      <c r="E131" s="14"/>
      <c r="F131" s="14"/>
      <c r="G131" s="14"/>
      <c r="H131" s="14"/>
      <c r="I131" s="14"/>
      <c r="J131" s="14"/>
      <c r="K131" s="100"/>
      <c r="L131" s="102">
        <f t="shared" si="22"/>
        <v>1</v>
      </c>
      <c r="M131" s="102" t="str">
        <f t="shared" si="23"/>
        <v>ok</v>
      </c>
    </row>
    <row r="132" spans="1:13">
      <c r="A132" s="155"/>
      <c r="B132" s="104" t="s">
        <v>604</v>
      </c>
      <c r="C132" s="105">
        <f>SUMIF('CH&amp;YP Gweithgaredd'!D:D,"sesiwn wyneb yn wyneb",'CH&amp;YP Gweithgaredd'!J:N)</f>
        <v>0</v>
      </c>
      <c r="D132" s="158">
        <f t="shared" si="21"/>
        <v>1</v>
      </c>
      <c r="E132" s="14"/>
      <c r="F132" s="14"/>
      <c r="G132" s="14"/>
      <c r="H132" s="14"/>
      <c r="I132" s="14"/>
      <c r="J132" s="14"/>
      <c r="K132" s="100"/>
      <c r="L132" s="102">
        <f t="shared" si="22"/>
        <v>1</v>
      </c>
      <c r="M132" s="102" t="str">
        <f>IF(C131&lt;=C132,"ok","wrong")</f>
        <v>ok</v>
      </c>
    </row>
    <row r="133" spans="1:13">
      <c r="A133" s="155"/>
      <c r="B133" s="104" t="s">
        <v>605</v>
      </c>
      <c r="C133" s="105">
        <f>SUMIF('CH&amp;YP Gweithgaredd'!D:D,"prosiect ffôn",'CH&amp;YP Gweithgaredd'!E:I)</f>
        <v>0</v>
      </c>
      <c r="D133" s="158">
        <f t="shared" si="21"/>
        <v>1</v>
      </c>
      <c r="E133" s="14"/>
      <c r="F133" s="14"/>
      <c r="G133" s="14"/>
      <c r="H133" s="14"/>
      <c r="I133" s="14"/>
      <c r="J133" s="14"/>
      <c r="K133" s="100"/>
      <c r="L133" s="102">
        <f t="shared" si="22"/>
        <v>1</v>
      </c>
      <c r="M133" s="102" t="str">
        <f t="shared" ref="M133" si="24">IF(AND(C133&gt;=0.1,SUM(C134)&gt;=C133),"ok",IF(AND(C133=0,SUM(C134)=0),"ok",IF(AND(C133&gt;0.1,SUM(C134)=0),"wrong",IF(AND(C133=0,SUM(C134)&gt;0.1),"wrong"))))</f>
        <v>ok</v>
      </c>
    </row>
    <row r="134" spans="1:13">
      <c r="A134" s="155"/>
      <c r="B134" s="104" t="s">
        <v>606</v>
      </c>
      <c r="C134" s="105">
        <f>SUMIF('CH&amp;YP Gweithgaredd'!D:D,"prosiect ffôn",'CH&amp;YP Gweithgaredd'!J:N)</f>
        <v>0</v>
      </c>
      <c r="D134" s="158">
        <f t="shared" si="21"/>
        <v>1</v>
      </c>
      <c r="E134" s="14"/>
      <c r="F134" s="14"/>
      <c r="G134" s="14"/>
      <c r="H134" s="14"/>
      <c r="I134" s="14"/>
      <c r="J134" s="14"/>
      <c r="K134" s="100"/>
      <c r="L134" s="102">
        <f t="shared" si="22"/>
        <v>1</v>
      </c>
      <c r="M134" s="102" t="str">
        <f>IF(C133&lt;=C134,"ok","wrong")</f>
        <v>ok</v>
      </c>
    </row>
    <row r="135" spans="1:13">
      <c r="A135" s="155"/>
      <c r="B135" s="104" t="s">
        <v>607</v>
      </c>
      <c r="C135" s="105">
        <f>SUMIF('CH&amp;YP Gweithgaredd'!D:D,"prosiect post",'CH&amp;YP Gweithgaredd'!E:I)</f>
        <v>0</v>
      </c>
      <c r="D135" s="158">
        <f t="shared" si="21"/>
        <v>1</v>
      </c>
      <c r="E135" s="14"/>
      <c r="F135" s="14"/>
      <c r="G135" s="14"/>
      <c r="H135" s="14"/>
      <c r="I135" s="14"/>
      <c r="J135" s="14"/>
      <c r="K135" s="100"/>
      <c r="L135" s="102">
        <f t="shared" si="22"/>
        <v>1</v>
      </c>
      <c r="M135" s="102" t="str">
        <f t="shared" ref="M135" si="25">IF(AND(C135&gt;=0.1,SUM(C136)&gt;=C135),"ok",IF(AND(C135=0,SUM(C136)=0),"ok",IF(AND(C135&gt;0.1,SUM(C136)=0),"wrong",IF(AND(C135=0,SUM(C136)&gt;0.1),"wrong"))))</f>
        <v>ok</v>
      </c>
    </row>
    <row r="136" spans="1:13">
      <c r="A136" s="155"/>
      <c r="B136" s="104" t="s">
        <v>608</v>
      </c>
      <c r="C136" s="105">
        <f>SUMIF('CH&amp;YP Gweithgaredd'!D:D,"prosiect post",'CH&amp;YP Gweithgaredd'!J:N)</f>
        <v>0</v>
      </c>
      <c r="D136" s="158">
        <f t="shared" si="21"/>
        <v>1</v>
      </c>
      <c r="E136" s="14"/>
      <c r="F136" s="14"/>
      <c r="G136" s="14"/>
      <c r="H136" s="14"/>
      <c r="I136" s="14"/>
      <c r="J136" s="14"/>
      <c r="K136" s="100"/>
      <c r="L136" s="102">
        <f t="shared" si="22"/>
        <v>1</v>
      </c>
      <c r="M136" s="102" t="str">
        <f>IF(C135&lt;=C136,"ok","wrong")</f>
        <v>ok</v>
      </c>
    </row>
    <row r="137" spans="1:13">
      <c r="A137" s="155" t="s">
        <v>609</v>
      </c>
      <c r="B137" s="155"/>
      <c r="C137" s="155"/>
      <c r="D137" s="14"/>
      <c r="E137" s="14"/>
      <c r="F137" s="14"/>
      <c r="G137" s="14"/>
      <c r="H137" s="14"/>
      <c r="I137" s="14"/>
      <c r="J137" s="14"/>
      <c r="K137" s="100"/>
      <c r="L137" s="102"/>
      <c r="M137" s="102"/>
    </row>
    <row r="138" spans="1:13" ht="16">
      <c r="A138" s="106" t="s">
        <v>370</v>
      </c>
      <c r="B138" s="155" t="s">
        <v>610</v>
      </c>
      <c r="C138" s="105">
        <f>SUMIF('CH&amp;YP Gweithgaredd'!$C$4:$C$99967,"Dawns",'CH&amp;YP Gweithgaredd'!$E$4:$E$99967)</f>
        <v>0</v>
      </c>
      <c r="D138" s="102">
        <f>L138</f>
        <v>1</v>
      </c>
      <c r="E138" s="14"/>
      <c r="F138" s="14"/>
      <c r="G138" s="14"/>
      <c r="H138" s="14"/>
      <c r="I138" s="14"/>
      <c r="J138" s="14"/>
      <c r="K138" s="100"/>
      <c r="L138" s="102">
        <f>IF(M138="ok",1,0)</f>
        <v>1</v>
      </c>
      <c r="M138" s="102" t="str">
        <f>IF(AND(C138&gt;=0.1,SUM(C139)&gt;=C138),"ok",IF(AND(C138=0,SUM(C139)=0),"ok",IF(AND(C138&gt;0.1,SUM(C139)=0),"wrong",IF(AND(C138=0,SUM(C139)&gt;0.1),"wrong"))))</f>
        <v>ok</v>
      </c>
    </row>
    <row r="139" spans="1:13">
      <c r="A139" s="155"/>
      <c r="B139" s="155" t="s">
        <v>611</v>
      </c>
      <c r="C139" s="105">
        <f>SUMIF('CH&amp;YP Gweithgaredd'!$C$4:$C$99967,"Dawns",'CH&amp;YP Gweithgaredd'!$J$4:$J$99967)</f>
        <v>0</v>
      </c>
      <c r="D139" s="102">
        <f>L139</f>
        <v>1</v>
      </c>
      <c r="E139" s="14"/>
      <c r="F139" s="14"/>
      <c r="G139" s="14"/>
      <c r="H139" s="14"/>
      <c r="I139" s="14"/>
      <c r="J139" s="14"/>
      <c r="K139" s="100"/>
      <c r="L139" s="102">
        <f t="shared" ref="L139:L202" si="26">IF(M139="ok",1,0)</f>
        <v>1</v>
      </c>
      <c r="M139" s="102" t="str">
        <f>IF(C138&lt;=C139,"ok","wrong")</f>
        <v>ok</v>
      </c>
    </row>
    <row r="140" spans="1:13">
      <c r="A140" s="155"/>
      <c r="B140" s="155" t="s">
        <v>612</v>
      </c>
      <c r="C140" s="105">
        <f>SUMIF('CH&amp;YP Gweithgaredd'!$C$4:$C$99967,"Dawns",'CH&amp;YP Gweithgaredd'!$F$4:$F$99967)</f>
        <v>0</v>
      </c>
      <c r="D140" s="102">
        <f>L140</f>
        <v>1</v>
      </c>
      <c r="E140" s="14"/>
      <c r="F140" s="14"/>
      <c r="G140" s="14"/>
      <c r="H140" s="14"/>
      <c r="I140" s="14"/>
      <c r="J140" s="14"/>
      <c r="K140" s="100"/>
      <c r="L140" s="102">
        <f t="shared" si="26"/>
        <v>1</v>
      </c>
      <c r="M140" s="102" t="str">
        <f>IF(AND(C140&gt;=0.1,SUM(C141)&gt;=C140),"ok",IF(AND(C140=0,SUM(C141)=0),"ok",IF(AND(C140&gt;0.1,SUM(C141)=0),"wrong",IF(AND(C140=0,SUM(C141)&gt;0.1),"wrong"))))</f>
        <v>ok</v>
      </c>
    </row>
    <row r="141" spans="1:13">
      <c r="A141" s="155"/>
      <c r="B141" s="155" t="s">
        <v>613</v>
      </c>
      <c r="C141" s="105">
        <f>SUMIF('CH&amp;YP Gweithgaredd'!$C$4:$C$99967,"Dawns",'CH&amp;YP Gweithgaredd'!$K$4:$L$99967)</f>
        <v>0</v>
      </c>
      <c r="D141" s="102">
        <f>L141</f>
        <v>1</v>
      </c>
      <c r="E141" s="14"/>
      <c r="F141" s="14"/>
      <c r="G141" s="14"/>
      <c r="H141" s="14"/>
      <c r="I141" s="14"/>
      <c r="J141" s="14"/>
      <c r="K141" s="100"/>
      <c r="L141" s="102">
        <f t="shared" si="26"/>
        <v>1</v>
      </c>
      <c r="M141" s="102" t="str">
        <f>IF(C140&lt;=C141,"ok","wrong")</f>
        <v>ok</v>
      </c>
    </row>
    <row r="142" spans="1:13">
      <c r="A142" s="155"/>
      <c r="B142" s="155" t="s">
        <v>614</v>
      </c>
      <c r="C142" s="105">
        <f>SUMIF('CH&amp;YP Gweithgaredd'!$C$4:$C$99967,"Dawns",'CH&amp;YP Gweithgaredd'!$G$4:$G$99967)</f>
        <v>0</v>
      </c>
      <c r="D142" s="102">
        <f t="shared" ref="D142:D205" si="27">L142</f>
        <v>1</v>
      </c>
      <c r="E142" s="14"/>
      <c r="F142" s="14"/>
      <c r="G142" s="14"/>
      <c r="H142" s="14"/>
      <c r="I142" s="14"/>
      <c r="J142" s="14"/>
      <c r="K142" s="100"/>
      <c r="L142" s="102">
        <f t="shared" si="26"/>
        <v>1</v>
      </c>
      <c r="M142" s="102" t="str">
        <f t="shared" ref="M142" si="28">IF(AND(C142&gt;=0.1,SUM(C143)&gt;=C142),"ok",IF(AND(C142=0,SUM(C143)=0),"ok",IF(AND(C142&gt;0.1,SUM(C143)=0),"wrong",IF(AND(C142=0,SUM(C143)&gt;0.1),"wrong"))))</f>
        <v>ok</v>
      </c>
    </row>
    <row r="143" spans="1:13">
      <c r="A143" s="155"/>
      <c r="B143" s="155" t="s">
        <v>615</v>
      </c>
      <c r="C143" s="105">
        <f>SUMIF('CH&amp;YP Gweithgaredd'!$C$4:$C$99967,"Dawns",'CH&amp;YP Gweithgaredd'!$L$4:$L$99967)</f>
        <v>0</v>
      </c>
      <c r="D143" s="102">
        <f t="shared" si="27"/>
        <v>1</v>
      </c>
      <c r="E143" s="14"/>
      <c r="F143" s="14"/>
      <c r="G143" s="14"/>
      <c r="H143" s="14"/>
      <c r="I143" s="14"/>
      <c r="J143" s="14"/>
      <c r="K143" s="100"/>
      <c r="L143" s="102">
        <f t="shared" si="26"/>
        <v>1</v>
      </c>
      <c r="M143" s="102" t="str">
        <f t="shared" ref="M143" si="29">IF(C142&lt;=C143,"ok","wrong")</f>
        <v>ok</v>
      </c>
    </row>
    <row r="144" spans="1:13">
      <c r="A144" s="155"/>
      <c r="B144" s="155" t="s">
        <v>616</v>
      </c>
      <c r="C144" s="105">
        <f>SUMIF('CH&amp;YP Gweithgaredd'!$C$4:$C$99967,"Dawns",'CH&amp;YP Gweithgaredd'!$H$4:$H$99967)</f>
        <v>0</v>
      </c>
      <c r="D144" s="102">
        <f t="shared" si="27"/>
        <v>1</v>
      </c>
      <c r="E144" s="14"/>
      <c r="F144" s="14"/>
      <c r="G144" s="14"/>
      <c r="H144" s="14"/>
      <c r="I144" s="14"/>
      <c r="J144" s="14"/>
      <c r="K144" s="100"/>
      <c r="L144" s="102">
        <f t="shared" si="26"/>
        <v>1</v>
      </c>
      <c r="M144" s="102" t="str">
        <f t="shared" ref="M144" si="30">IF(AND(C144&gt;=0.1,SUM(C145)&gt;=C144),"ok",IF(AND(C144=0,SUM(C145)=0),"ok",IF(AND(C144&gt;0.1,SUM(C145)=0),"wrong",IF(AND(C144=0,SUM(C145)&gt;0.1),"wrong"))))</f>
        <v>ok</v>
      </c>
    </row>
    <row r="145" spans="1:13">
      <c r="A145" s="155"/>
      <c r="B145" s="155" t="s">
        <v>617</v>
      </c>
      <c r="C145" s="105">
        <f>SUMIF('CH&amp;YP Gweithgaredd'!$C$4:$C$99967,"Dawns",'CH&amp;YP Gweithgaredd'!$M$4:$M$99967)</f>
        <v>0</v>
      </c>
      <c r="D145" s="102">
        <f t="shared" si="27"/>
        <v>1</v>
      </c>
      <c r="E145" s="14"/>
      <c r="F145" s="14"/>
      <c r="G145" s="14"/>
      <c r="H145" s="14"/>
      <c r="I145" s="14"/>
      <c r="J145" s="14"/>
      <c r="K145" s="100"/>
      <c r="L145" s="102">
        <f t="shared" si="26"/>
        <v>1</v>
      </c>
      <c r="M145" s="102" t="str">
        <f t="shared" ref="M145" si="31">IF(C144&lt;=C145,"ok","wrong")</f>
        <v>ok</v>
      </c>
    </row>
    <row r="146" spans="1:13">
      <c r="A146" s="155"/>
      <c r="B146" s="155" t="s">
        <v>618</v>
      </c>
      <c r="C146" s="105">
        <f>SUMIF('CH&amp;YP Gweithgaredd'!$C$4:$C$99967,"Dawns",'CH&amp;YP Gweithgaredd'!$I$4:$I$99967)</f>
        <v>0</v>
      </c>
      <c r="D146" s="102">
        <f t="shared" si="27"/>
        <v>1</v>
      </c>
      <c r="E146" s="14"/>
      <c r="F146" s="14"/>
      <c r="G146" s="14"/>
      <c r="H146" s="14"/>
      <c r="I146" s="14"/>
      <c r="J146" s="14"/>
      <c r="K146" s="100"/>
      <c r="L146" s="102">
        <f t="shared" si="26"/>
        <v>1</v>
      </c>
      <c r="M146" s="102" t="str">
        <f t="shared" ref="M146" si="32">IF(AND(C146&gt;=0.1,SUM(C147)&gt;=C146),"ok",IF(AND(C146=0,SUM(C147)=0),"ok",IF(AND(C146&gt;0.1,SUM(C147)=0),"wrong",IF(AND(C146=0,SUM(C147)&gt;0.1),"wrong"))))</f>
        <v>ok</v>
      </c>
    </row>
    <row r="147" spans="1:13">
      <c r="A147" s="155"/>
      <c r="B147" s="155" t="s">
        <v>619</v>
      </c>
      <c r="C147" s="105">
        <f>SUMIF('CH&amp;YP Gweithgaredd'!$C$4:$C$99967,"Dawns",'CH&amp;YP Gweithgaredd'!$N$4:$N$99967)</f>
        <v>0</v>
      </c>
      <c r="D147" s="102">
        <f t="shared" si="27"/>
        <v>1</v>
      </c>
      <c r="E147" s="14"/>
      <c r="F147" s="14"/>
      <c r="G147" s="14"/>
      <c r="H147" s="14"/>
      <c r="I147" s="14"/>
      <c r="J147" s="14"/>
      <c r="K147" s="100"/>
      <c r="L147" s="102">
        <f t="shared" si="26"/>
        <v>1</v>
      </c>
      <c r="M147" s="102" t="str">
        <f t="shared" ref="M147" si="33">IF(C146&lt;=C147,"ok","wrong")</f>
        <v>ok</v>
      </c>
    </row>
    <row r="148" spans="1:13" ht="16">
      <c r="A148" s="106" t="s">
        <v>373</v>
      </c>
      <c r="B148" s="155" t="s">
        <v>610</v>
      </c>
      <c r="C148" s="105">
        <f>SUMIF('CH&amp;YP Gweithgaredd'!$C$4:$C$99967,"Amlddisgyblaethol",'CH&amp;YP Gweithgaredd'!$E$4:$E$99967)</f>
        <v>0</v>
      </c>
      <c r="D148" s="102">
        <f t="shared" si="27"/>
        <v>1</v>
      </c>
      <c r="E148" s="14"/>
      <c r="F148" s="14"/>
      <c r="G148" s="14"/>
      <c r="H148" s="14"/>
      <c r="I148" s="14"/>
      <c r="J148" s="14"/>
      <c r="K148" s="100"/>
      <c r="L148" s="102">
        <f t="shared" si="26"/>
        <v>1</v>
      </c>
      <c r="M148" s="102" t="str">
        <f t="shared" ref="M148" si="34">IF(AND(C148&gt;=0.1,SUM(C149)&gt;=C148),"ok",IF(AND(C148=0,SUM(C149)=0),"ok",IF(AND(C148&gt;0.1,SUM(C149)=0),"wrong",IF(AND(C148=0,SUM(C149)&gt;0.1),"wrong"))))</f>
        <v>ok</v>
      </c>
    </row>
    <row r="149" spans="1:13">
      <c r="A149" s="155"/>
      <c r="B149" s="155" t="s">
        <v>611</v>
      </c>
      <c r="C149" s="105">
        <f>SUMIF('CH&amp;YP Gweithgaredd'!$C$4:$C$99967,"Amlddisgyblaethol",'CH&amp;YP Gweithgaredd'!$J$4:$J$99967)</f>
        <v>0</v>
      </c>
      <c r="D149" s="102">
        <f t="shared" si="27"/>
        <v>1</v>
      </c>
      <c r="E149" s="14"/>
      <c r="F149" s="14"/>
      <c r="G149" s="14"/>
      <c r="H149" s="14"/>
      <c r="I149" s="14"/>
      <c r="J149" s="14"/>
      <c r="K149" s="100"/>
      <c r="L149" s="102">
        <f t="shared" si="26"/>
        <v>1</v>
      </c>
      <c r="M149" s="102" t="str">
        <f t="shared" ref="M149" si="35">IF(C148&lt;=C149,"ok","wrong")</f>
        <v>ok</v>
      </c>
    </row>
    <row r="150" spans="1:13">
      <c r="A150" s="155"/>
      <c r="B150" s="155" t="s">
        <v>612</v>
      </c>
      <c r="C150" s="105">
        <f>SUMIF('CH&amp;YP Gweithgaredd'!$C$4:$C$99967,"Amlddisgyblaethol",'CH&amp;YP Gweithgaredd'!$F$4:$F$99967)</f>
        <v>0</v>
      </c>
      <c r="D150" s="102">
        <f t="shared" si="27"/>
        <v>1</v>
      </c>
      <c r="E150" s="14"/>
      <c r="F150" s="14"/>
      <c r="G150" s="14"/>
      <c r="H150" s="14"/>
      <c r="I150" s="14"/>
      <c r="J150" s="14"/>
      <c r="K150" s="100"/>
      <c r="L150" s="102">
        <f t="shared" si="26"/>
        <v>1</v>
      </c>
      <c r="M150" s="102" t="str">
        <f t="shared" ref="M150" si="36">IF(AND(C150&gt;=0.1,SUM(C151)&gt;=C150),"ok",IF(AND(C150=0,SUM(C151)=0),"ok",IF(AND(C150&gt;0.1,SUM(C151)=0),"wrong",IF(AND(C150=0,SUM(C151)&gt;0.1),"wrong"))))</f>
        <v>ok</v>
      </c>
    </row>
    <row r="151" spans="1:13">
      <c r="A151" s="155"/>
      <c r="B151" s="155" t="s">
        <v>613</v>
      </c>
      <c r="C151" s="105">
        <f>SUMIF('CH&amp;YP Gweithgaredd'!$C$4:$C$99967,"Amlddisgyblaethol",'CH&amp;YP Gweithgaredd'!$K$4:$K$99967)</f>
        <v>0</v>
      </c>
      <c r="D151" s="102">
        <f t="shared" si="27"/>
        <v>1</v>
      </c>
      <c r="E151" s="14"/>
      <c r="F151" s="14"/>
      <c r="G151" s="14"/>
      <c r="H151" s="14"/>
      <c r="I151" s="14"/>
      <c r="J151" s="14"/>
      <c r="K151" s="100"/>
      <c r="L151" s="102">
        <f t="shared" si="26"/>
        <v>1</v>
      </c>
      <c r="M151" s="102" t="str">
        <f t="shared" ref="M151" si="37">IF(C150&lt;=C151,"ok","wrong")</f>
        <v>ok</v>
      </c>
    </row>
    <row r="152" spans="1:13">
      <c r="A152" s="155"/>
      <c r="B152" s="155" t="s">
        <v>614</v>
      </c>
      <c r="C152" s="105">
        <f>SUMIF('CH&amp;YP Gweithgaredd'!$C$4:$C$99967,"Amlddisgyblaethol",'CH&amp;YP Gweithgaredd'!$G$4:$G$99967)</f>
        <v>0</v>
      </c>
      <c r="D152" s="102">
        <f t="shared" si="27"/>
        <v>1</v>
      </c>
      <c r="E152" s="14"/>
      <c r="F152" s="14"/>
      <c r="G152" s="14"/>
      <c r="H152" s="14"/>
      <c r="I152" s="14"/>
      <c r="J152" s="14"/>
      <c r="K152" s="100"/>
      <c r="L152" s="102">
        <f t="shared" si="26"/>
        <v>1</v>
      </c>
      <c r="M152" s="102" t="str">
        <f t="shared" ref="M152" si="38">IF(AND(C152&gt;=0.1,SUM(C153)&gt;=C152),"ok",IF(AND(C152=0,SUM(C153)=0),"ok",IF(AND(C152&gt;0.1,SUM(C153)=0),"wrong",IF(AND(C152=0,SUM(C153)&gt;0.1),"wrong"))))</f>
        <v>ok</v>
      </c>
    </row>
    <row r="153" spans="1:13">
      <c r="A153" s="155"/>
      <c r="B153" s="155" t="s">
        <v>615</v>
      </c>
      <c r="C153" s="105">
        <f>SUMIF('CH&amp;YP Gweithgaredd'!$C$4:$C$99967,"Amlddisgyblaethol",'CH&amp;YP Gweithgaredd'!$L$4:$L$99967)</f>
        <v>0</v>
      </c>
      <c r="D153" s="102">
        <f t="shared" si="27"/>
        <v>1</v>
      </c>
      <c r="E153" s="14"/>
      <c r="F153" s="14"/>
      <c r="G153" s="14"/>
      <c r="H153" s="14"/>
      <c r="I153" s="14"/>
      <c r="J153" s="14"/>
      <c r="K153" s="100"/>
      <c r="L153" s="102">
        <f t="shared" si="26"/>
        <v>1</v>
      </c>
      <c r="M153" s="102" t="str">
        <f t="shared" ref="M153" si="39">IF(C152&lt;=C153,"ok","wrong")</f>
        <v>ok</v>
      </c>
    </row>
    <row r="154" spans="1:13">
      <c r="A154" s="155"/>
      <c r="B154" s="155" t="s">
        <v>616</v>
      </c>
      <c r="C154" s="105">
        <f>SUMIF('CH&amp;YP Gweithgaredd'!$C$4:$C$99967,"Amlddisgyblaethol",'CH&amp;YP Gweithgaredd'!$H$4:$H$99967)</f>
        <v>0</v>
      </c>
      <c r="D154" s="102">
        <f t="shared" si="27"/>
        <v>1</v>
      </c>
      <c r="E154" s="14"/>
      <c r="F154" s="14"/>
      <c r="G154" s="14"/>
      <c r="H154" s="14"/>
      <c r="I154" s="14"/>
      <c r="J154" s="14"/>
      <c r="K154" s="100"/>
      <c r="L154" s="102">
        <f t="shared" si="26"/>
        <v>1</v>
      </c>
      <c r="M154" s="102" t="str">
        <f t="shared" ref="M154" si="40">IF(AND(C154&gt;=0.1,SUM(C155)&gt;=C154),"ok",IF(AND(C154=0,SUM(C155)=0),"ok",IF(AND(C154&gt;0.1,SUM(C155)=0),"wrong",IF(AND(C154=0,SUM(C155)&gt;0.1),"wrong"))))</f>
        <v>ok</v>
      </c>
    </row>
    <row r="155" spans="1:13">
      <c r="A155" s="155"/>
      <c r="B155" s="155" t="s">
        <v>617</v>
      </c>
      <c r="C155" s="105">
        <f>SUMIF('CH&amp;YP Gweithgaredd'!$C$4:$C$99967,"Amlddisgyblaethol",'CH&amp;YP Gweithgaredd'!$M$4:$M$99967)</f>
        <v>0</v>
      </c>
      <c r="D155" s="102">
        <f t="shared" si="27"/>
        <v>1</v>
      </c>
      <c r="E155" s="14"/>
      <c r="F155" s="14"/>
      <c r="G155" s="14"/>
      <c r="H155" s="14"/>
      <c r="I155" s="14"/>
      <c r="J155" s="14"/>
      <c r="K155" s="100"/>
      <c r="L155" s="102">
        <f t="shared" si="26"/>
        <v>1</v>
      </c>
      <c r="M155" s="102" t="str">
        <f t="shared" ref="M155" si="41">IF(C154&lt;=C155,"ok","wrong")</f>
        <v>ok</v>
      </c>
    </row>
    <row r="156" spans="1:13">
      <c r="A156" s="155"/>
      <c r="B156" s="155" t="s">
        <v>618</v>
      </c>
      <c r="C156" s="105">
        <f>SUMIF('CH&amp;YP Gweithgaredd'!$C$4:$C$99967,"Amlddisgyblaethol",'CH&amp;YP Gweithgaredd'!$I$4:$I$99967)</f>
        <v>0</v>
      </c>
      <c r="D156" s="102">
        <f t="shared" si="27"/>
        <v>1</v>
      </c>
      <c r="E156" s="14"/>
      <c r="F156" s="14"/>
      <c r="G156" s="14"/>
      <c r="H156" s="14"/>
      <c r="I156" s="14"/>
      <c r="J156" s="14"/>
      <c r="K156" s="100"/>
      <c r="L156" s="102">
        <f t="shared" si="26"/>
        <v>1</v>
      </c>
      <c r="M156" s="102" t="str">
        <f t="shared" ref="M156" si="42">IF(AND(C156&gt;=0.1,SUM(C157)&gt;=C156),"ok",IF(AND(C156=0,SUM(C157)=0),"ok",IF(AND(C156&gt;0.1,SUM(C157)=0),"wrong",IF(AND(C156=0,SUM(C157)&gt;0.1),"wrong"))))</f>
        <v>ok</v>
      </c>
    </row>
    <row r="157" spans="1:13">
      <c r="A157" s="155"/>
      <c r="B157" s="155" t="s">
        <v>619</v>
      </c>
      <c r="C157" s="105">
        <f>SUMIF('CH&amp;YP Gweithgaredd'!$C$4:$C$99967,"Amlddisgyblaethol",'CH&amp;YP Gweithgaredd'!$N$4:$N$99967)</f>
        <v>0</v>
      </c>
      <c r="D157" s="102">
        <f t="shared" si="27"/>
        <v>1</v>
      </c>
      <c r="E157" s="14"/>
      <c r="F157" s="14"/>
      <c r="G157" s="14"/>
      <c r="H157" s="14"/>
      <c r="I157" s="14"/>
      <c r="J157" s="14"/>
      <c r="K157" s="100"/>
      <c r="L157" s="102">
        <f t="shared" si="26"/>
        <v>1</v>
      </c>
      <c r="M157" s="102" t="str">
        <f t="shared" ref="M157" si="43">IF(C156&lt;=C157,"ok","wrong")</f>
        <v>ok</v>
      </c>
    </row>
    <row r="158" spans="1:13" ht="16">
      <c r="A158" s="106" t="s">
        <v>376</v>
      </c>
      <c r="B158" s="155" t="s">
        <v>610</v>
      </c>
      <c r="C158" s="105">
        <f>SUMIF('CH&amp;YP Gweithgaredd'!$C$4:$C$99967,"Drama",'CH&amp;YP Gweithgaredd'!$E$4:$E$99967)</f>
        <v>0</v>
      </c>
      <c r="D158" s="102">
        <f t="shared" si="27"/>
        <v>1</v>
      </c>
      <c r="E158" s="14"/>
      <c r="F158" s="14"/>
      <c r="G158" s="14"/>
      <c r="H158" s="14"/>
      <c r="I158" s="14"/>
      <c r="J158" s="14"/>
      <c r="K158" s="100"/>
      <c r="L158" s="102">
        <f t="shared" si="26"/>
        <v>1</v>
      </c>
      <c r="M158" s="102" t="str">
        <f t="shared" ref="M158" si="44">IF(AND(C158&gt;=0.1,SUM(C159)&gt;=C158),"ok",IF(AND(C158=0,SUM(C159)=0),"ok",IF(AND(C158&gt;0.1,SUM(C159)=0),"wrong",IF(AND(C158=0,SUM(C159)&gt;0.1),"wrong"))))</f>
        <v>ok</v>
      </c>
    </row>
    <row r="159" spans="1:13">
      <c r="A159" s="155"/>
      <c r="B159" s="155" t="s">
        <v>611</v>
      </c>
      <c r="C159" s="105">
        <f>SUMIF('CH&amp;YP Gweithgaredd'!$C$4:$C$99967,"Drama",'CH&amp;YP Gweithgaredd'!$J$4:$J$99967)</f>
        <v>0</v>
      </c>
      <c r="D159" s="102">
        <f t="shared" si="27"/>
        <v>1</v>
      </c>
      <c r="E159" s="14"/>
      <c r="F159" s="14"/>
      <c r="G159" s="14"/>
      <c r="H159" s="14"/>
      <c r="I159" s="14"/>
      <c r="J159" s="14"/>
      <c r="K159" s="100"/>
      <c r="L159" s="102">
        <f t="shared" si="26"/>
        <v>1</v>
      </c>
      <c r="M159" s="102" t="str">
        <f t="shared" ref="M159" si="45">IF(C158&lt;=C159,"ok","wrong")</f>
        <v>ok</v>
      </c>
    </row>
    <row r="160" spans="1:13">
      <c r="A160" s="155"/>
      <c r="B160" s="155" t="s">
        <v>612</v>
      </c>
      <c r="C160" s="105">
        <f>SUMIF('CH&amp;YP Gweithgaredd'!$C$4:$C$99967,"Drama",'CH&amp;YP Gweithgaredd'!$F$4:$F$99967)</f>
        <v>0</v>
      </c>
      <c r="D160" s="102">
        <f t="shared" si="27"/>
        <v>1</v>
      </c>
      <c r="E160" s="14"/>
      <c r="F160" s="14"/>
      <c r="G160" s="14"/>
      <c r="H160" s="14"/>
      <c r="I160" s="14"/>
      <c r="J160" s="14"/>
      <c r="K160" s="100"/>
      <c r="L160" s="102">
        <f t="shared" si="26"/>
        <v>1</v>
      </c>
      <c r="M160" s="102" t="str">
        <f t="shared" ref="M160" si="46">IF(AND(C160&gt;=0.1,SUM(C161)&gt;=C160),"ok",IF(AND(C160=0,SUM(C161)=0),"ok",IF(AND(C160&gt;0.1,SUM(C161)=0),"wrong",IF(AND(C160=0,SUM(C161)&gt;0.1),"wrong"))))</f>
        <v>ok</v>
      </c>
    </row>
    <row r="161" spans="1:13">
      <c r="A161" s="155"/>
      <c r="B161" s="155" t="s">
        <v>613</v>
      </c>
      <c r="C161" s="105">
        <f>SUMIF('CH&amp;YP Gweithgaredd'!$C$4:$C$99967,"Drama",'CH&amp;YP Gweithgaredd'!$K$4:$K$99967)</f>
        <v>0</v>
      </c>
      <c r="D161" s="102">
        <f t="shared" si="27"/>
        <v>1</v>
      </c>
      <c r="E161" s="14"/>
      <c r="F161" s="14"/>
      <c r="G161" s="14"/>
      <c r="H161" s="14"/>
      <c r="I161" s="14"/>
      <c r="J161" s="14"/>
      <c r="K161" s="100"/>
      <c r="L161" s="102">
        <f t="shared" si="26"/>
        <v>1</v>
      </c>
      <c r="M161" s="102" t="str">
        <f t="shared" ref="M161" si="47">IF(C160&lt;=C161,"ok","wrong")</f>
        <v>ok</v>
      </c>
    </row>
    <row r="162" spans="1:13">
      <c r="A162" s="155"/>
      <c r="B162" s="155" t="s">
        <v>614</v>
      </c>
      <c r="C162" s="105">
        <f>SUMIF('CH&amp;YP Gweithgaredd'!$C$4:$C$99967,"Drama",'CH&amp;YP Gweithgaredd'!$G$4:$G$99967)</f>
        <v>0</v>
      </c>
      <c r="D162" s="102">
        <f t="shared" si="27"/>
        <v>1</v>
      </c>
      <c r="E162" s="14"/>
      <c r="F162" s="14"/>
      <c r="G162" s="14"/>
      <c r="H162" s="14"/>
      <c r="I162" s="14"/>
      <c r="J162" s="14"/>
      <c r="K162" s="100"/>
      <c r="L162" s="102">
        <f t="shared" si="26"/>
        <v>1</v>
      </c>
      <c r="M162" s="102" t="str">
        <f t="shared" ref="M162" si="48">IF(AND(C162&gt;=0.1,SUM(C163)&gt;=C162),"ok",IF(AND(C162=0,SUM(C163)=0),"ok",IF(AND(C162&gt;0.1,SUM(C163)=0),"wrong",IF(AND(C162=0,SUM(C163)&gt;0.1),"wrong"))))</f>
        <v>ok</v>
      </c>
    </row>
    <row r="163" spans="1:13">
      <c r="A163" s="155"/>
      <c r="B163" s="155" t="s">
        <v>615</v>
      </c>
      <c r="C163" s="105">
        <f>SUMIF('CH&amp;YP Gweithgaredd'!$C$4:$C$99967,"Drama",'CH&amp;YP Gweithgaredd'!$L$4:$L$99967)</f>
        <v>0</v>
      </c>
      <c r="D163" s="102">
        <f t="shared" si="27"/>
        <v>1</v>
      </c>
      <c r="E163" s="14"/>
      <c r="F163" s="14"/>
      <c r="G163" s="14"/>
      <c r="H163" s="14"/>
      <c r="I163" s="14"/>
      <c r="J163" s="14"/>
      <c r="K163" s="100"/>
      <c r="L163" s="102">
        <f t="shared" si="26"/>
        <v>1</v>
      </c>
      <c r="M163" s="102" t="str">
        <f t="shared" ref="M163" si="49">IF(C162&lt;=C163,"ok","wrong")</f>
        <v>ok</v>
      </c>
    </row>
    <row r="164" spans="1:13">
      <c r="A164" s="155"/>
      <c r="B164" s="155" t="s">
        <v>616</v>
      </c>
      <c r="C164" s="105">
        <f>SUMIF('CH&amp;YP Gweithgaredd'!$C$4:$C$99967,"Drama",'CH&amp;YP Gweithgaredd'!$H$4:$H$99967)</f>
        <v>0</v>
      </c>
      <c r="D164" s="102">
        <f t="shared" si="27"/>
        <v>1</v>
      </c>
      <c r="E164" s="14"/>
      <c r="F164" s="14"/>
      <c r="G164" s="14"/>
      <c r="H164" s="14"/>
      <c r="I164" s="14"/>
      <c r="J164" s="14"/>
      <c r="K164" s="100"/>
      <c r="L164" s="102">
        <f t="shared" si="26"/>
        <v>1</v>
      </c>
      <c r="M164" s="102" t="str">
        <f t="shared" ref="M164" si="50">IF(AND(C164&gt;=0.1,SUM(C165)&gt;=C164),"ok",IF(AND(C164=0,SUM(C165)=0),"ok",IF(AND(C164&gt;0.1,SUM(C165)=0),"wrong",IF(AND(C164=0,SUM(C165)&gt;0.1),"wrong"))))</f>
        <v>ok</v>
      </c>
    </row>
    <row r="165" spans="1:13">
      <c r="A165" s="155"/>
      <c r="B165" s="155" t="s">
        <v>617</v>
      </c>
      <c r="C165" s="105">
        <f>SUMIF('CH&amp;YP Gweithgaredd'!$C$4:$C$99967,"Drama",'CH&amp;YP Gweithgaredd'!$M$4:$M$99967)</f>
        <v>0</v>
      </c>
      <c r="D165" s="102">
        <f t="shared" si="27"/>
        <v>1</v>
      </c>
      <c r="E165" s="14"/>
      <c r="F165" s="14"/>
      <c r="G165" s="14"/>
      <c r="H165" s="14"/>
      <c r="I165" s="14"/>
      <c r="J165" s="14"/>
      <c r="K165" s="100"/>
      <c r="L165" s="102">
        <f t="shared" si="26"/>
        <v>1</v>
      </c>
      <c r="M165" s="102" t="str">
        <f t="shared" ref="M165" si="51">IF(C164&lt;=C165,"ok","wrong")</f>
        <v>ok</v>
      </c>
    </row>
    <row r="166" spans="1:13">
      <c r="A166" s="155"/>
      <c r="B166" s="155" t="s">
        <v>618</v>
      </c>
      <c r="C166" s="105">
        <f>SUMIF('CH&amp;YP Gweithgaredd'!$C$4:$C$99967,"Drama",'CH&amp;YP Gweithgaredd'!$I$4:$I$99967)</f>
        <v>0</v>
      </c>
      <c r="D166" s="102">
        <f t="shared" si="27"/>
        <v>1</v>
      </c>
      <c r="E166" s="14"/>
      <c r="F166" s="14"/>
      <c r="G166" s="14"/>
      <c r="H166" s="14"/>
      <c r="I166" s="14"/>
      <c r="J166" s="14"/>
      <c r="K166" s="100"/>
      <c r="L166" s="102">
        <f t="shared" si="26"/>
        <v>1</v>
      </c>
      <c r="M166" s="102" t="str">
        <f t="shared" ref="M166" si="52">IF(AND(C166&gt;=0.1,SUM(C167)&gt;=C166),"ok",IF(AND(C166=0,SUM(C167)=0),"ok",IF(AND(C166&gt;0.1,SUM(C167)=0),"wrong",IF(AND(C166=0,SUM(C167)&gt;0.1),"wrong"))))</f>
        <v>ok</v>
      </c>
    </row>
    <row r="167" spans="1:13">
      <c r="A167" s="155"/>
      <c r="B167" s="155" t="s">
        <v>619</v>
      </c>
      <c r="C167" s="105">
        <f>SUMIF('CH&amp;YP Gweithgaredd'!$C$4:$C$99967,"Drama",'CH&amp;YP Gweithgaredd'!$N$4:$N$99967)</f>
        <v>0</v>
      </c>
      <c r="D167" s="102">
        <f t="shared" si="27"/>
        <v>1</v>
      </c>
      <c r="E167" s="14"/>
      <c r="F167" s="14"/>
      <c r="G167" s="14"/>
      <c r="H167" s="14"/>
      <c r="I167" s="14"/>
      <c r="J167" s="14"/>
      <c r="K167" s="100"/>
      <c r="L167" s="102">
        <f t="shared" si="26"/>
        <v>1</v>
      </c>
      <c r="M167" s="102" t="str">
        <f t="shared" ref="M167" si="53">IF(C166&lt;=C167,"ok","wrong")</f>
        <v>ok</v>
      </c>
    </row>
    <row r="168" spans="1:13" ht="16">
      <c r="A168" s="106" t="s">
        <v>378</v>
      </c>
      <c r="B168" s="155" t="s">
        <v>610</v>
      </c>
      <c r="C168" s="105">
        <f>SUMIF('CH&amp;YP Gweithgaredd'!$C$4:$C$99967,"Cerddoriaeth",'CH&amp;YP Gweithgaredd'!$E$4:$E$99967)</f>
        <v>0</v>
      </c>
      <c r="D168" s="102">
        <f t="shared" si="27"/>
        <v>1</v>
      </c>
      <c r="E168" s="14"/>
      <c r="F168" s="14"/>
      <c r="G168" s="14"/>
      <c r="H168" s="14"/>
      <c r="I168" s="14"/>
      <c r="J168" s="14"/>
      <c r="K168" s="100"/>
      <c r="L168" s="102">
        <f t="shared" si="26"/>
        <v>1</v>
      </c>
      <c r="M168" s="102" t="str">
        <f t="shared" ref="M168" si="54">IF(AND(C168&gt;=0.1,SUM(C169)&gt;=C168),"ok",IF(AND(C168=0,SUM(C169)=0),"ok",IF(AND(C168&gt;0.1,SUM(C169)=0),"wrong",IF(AND(C168=0,SUM(C169)&gt;0.1),"wrong"))))</f>
        <v>ok</v>
      </c>
    </row>
    <row r="169" spans="1:13">
      <c r="A169" s="155"/>
      <c r="B169" s="155" t="s">
        <v>611</v>
      </c>
      <c r="C169" s="105">
        <f>SUMIF('CH&amp;YP Gweithgaredd'!$C$4:$C$99967,"Cerddoriaeth",'CH&amp;YP Gweithgaredd'!$J$4:$J$99967)</f>
        <v>0</v>
      </c>
      <c r="D169" s="102">
        <f t="shared" si="27"/>
        <v>1</v>
      </c>
      <c r="E169" s="14"/>
      <c r="F169" s="14"/>
      <c r="G169" s="14"/>
      <c r="H169" s="14"/>
      <c r="I169" s="14"/>
      <c r="J169" s="14"/>
      <c r="K169" s="100"/>
      <c r="L169" s="102">
        <f t="shared" si="26"/>
        <v>1</v>
      </c>
      <c r="M169" s="102" t="str">
        <f t="shared" ref="M169" si="55">IF(C168&lt;=C169,"ok","wrong")</f>
        <v>ok</v>
      </c>
    </row>
    <row r="170" spans="1:13">
      <c r="A170" s="155"/>
      <c r="B170" s="155" t="s">
        <v>612</v>
      </c>
      <c r="C170" s="105">
        <f>SUMIF('CH&amp;YP Gweithgaredd'!$C$4:$C$99967,"Cerddoriaeth",'CH&amp;YP Gweithgaredd'!$F$4:$F$99967)</f>
        <v>0</v>
      </c>
      <c r="D170" s="102">
        <f t="shared" si="27"/>
        <v>1</v>
      </c>
      <c r="E170" s="14"/>
      <c r="F170" s="14"/>
      <c r="G170" s="14"/>
      <c r="H170" s="14"/>
      <c r="I170" s="14"/>
      <c r="J170" s="14"/>
      <c r="K170" s="100"/>
      <c r="L170" s="102">
        <f t="shared" si="26"/>
        <v>1</v>
      </c>
      <c r="M170" s="102" t="str">
        <f t="shared" ref="M170" si="56">IF(AND(C170&gt;=0.1,SUM(C171)&gt;=C170),"ok",IF(AND(C170=0,SUM(C171)=0),"ok",IF(AND(C170&gt;0.1,SUM(C171)=0),"wrong",IF(AND(C170=0,SUM(C171)&gt;0.1),"wrong"))))</f>
        <v>ok</v>
      </c>
    </row>
    <row r="171" spans="1:13">
      <c r="A171" s="155"/>
      <c r="B171" s="155" t="s">
        <v>613</v>
      </c>
      <c r="C171" s="105">
        <f>SUMIF('CH&amp;YP Gweithgaredd'!$C$4:$C$99967,"Cerddoriaeth",'CH&amp;YP Gweithgaredd'!$K$4:$K$99967)</f>
        <v>0</v>
      </c>
      <c r="D171" s="102">
        <f t="shared" si="27"/>
        <v>1</v>
      </c>
      <c r="E171" s="14"/>
      <c r="F171" s="14"/>
      <c r="G171" s="14"/>
      <c r="H171" s="14"/>
      <c r="I171" s="14"/>
      <c r="J171" s="14"/>
      <c r="K171" s="100"/>
      <c r="L171" s="102">
        <f t="shared" si="26"/>
        <v>1</v>
      </c>
      <c r="M171" s="102" t="str">
        <f t="shared" ref="M171" si="57">IF(C170&lt;=C171,"ok","wrong")</f>
        <v>ok</v>
      </c>
    </row>
    <row r="172" spans="1:13">
      <c r="A172" s="155"/>
      <c r="B172" s="155" t="s">
        <v>614</v>
      </c>
      <c r="C172" s="105">
        <f>SUMIF('CH&amp;YP Gweithgaredd'!$C$4:$C$99967,"Cerddoriaeth",'CH&amp;YP Gweithgaredd'!$G$4:$G$99967)</f>
        <v>0</v>
      </c>
      <c r="D172" s="102">
        <f t="shared" si="27"/>
        <v>1</v>
      </c>
      <c r="E172" s="14"/>
      <c r="F172" s="14"/>
      <c r="G172" s="14"/>
      <c r="H172" s="14"/>
      <c r="I172" s="14"/>
      <c r="J172" s="14"/>
      <c r="K172" s="100"/>
      <c r="L172" s="102">
        <f t="shared" si="26"/>
        <v>1</v>
      </c>
      <c r="M172" s="102" t="str">
        <f t="shared" ref="M172" si="58">IF(AND(C172&gt;=0.1,SUM(C173)&gt;=C172),"ok",IF(AND(C172=0,SUM(C173)=0),"ok",IF(AND(C172&gt;0.1,SUM(C173)=0),"wrong",IF(AND(C172=0,SUM(C173)&gt;0.1),"wrong"))))</f>
        <v>ok</v>
      </c>
    </row>
    <row r="173" spans="1:13">
      <c r="A173" s="155"/>
      <c r="B173" s="155" t="s">
        <v>615</v>
      </c>
      <c r="C173" s="105">
        <f>SUMIF('CH&amp;YP Gweithgaredd'!$C$4:$C$99967,"Cerddoriaeth",'CH&amp;YP Gweithgaredd'!$L$4:$L$99967)</f>
        <v>0</v>
      </c>
      <c r="D173" s="102">
        <f t="shared" si="27"/>
        <v>1</v>
      </c>
      <c r="E173" s="14"/>
      <c r="F173" s="14"/>
      <c r="G173" s="14"/>
      <c r="H173" s="14"/>
      <c r="I173" s="14"/>
      <c r="J173" s="14"/>
      <c r="K173" s="100"/>
      <c r="L173" s="102">
        <f t="shared" si="26"/>
        <v>1</v>
      </c>
      <c r="M173" s="102" t="str">
        <f t="shared" ref="M173" si="59">IF(C172&lt;=C173,"ok","wrong")</f>
        <v>ok</v>
      </c>
    </row>
    <row r="174" spans="1:13">
      <c r="A174" s="155"/>
      <c r="B174" s="155" t="s">
        <v>616</v>
      </c>
      <c r="C174" s="105">
        <f>SUMIF('CH&amp;YP Gweithgaredd'!$C$4:$C$99967,"Cerddoriaeth",'CH&amp;YP Gweithgaredd'!$H$4:$H$99967)</f>
        <v>0</v>
      </c>
      <c r="D174" s="102">
        <f t="shared" si="27"/>
        <v>1</v>
      </c>
      <c r="E174" s="14"/>
      <c r="F174" s="14"/>
      <c r="G174" s="14"/>
      <c r="H174" s="14"/>
      <c r="I174" s="14"/>
      <c r="J174" s="14"/>
      <c r="K174" s="100"/>
      <c r="L174" s="102">
        <f t="shared" si="26"/>
        <v>1</v>
      </c>
      <c r="M174" s="102" t="str">
        <f t="shared" ref="M174" si="60">IF(AND(C174&gt;=0.1,SUM(C175)&gt;=C174),"ok",IF(AND(C174=0,SUM(C175)=0),"ok",IF(AND(C174&gt;0.1,SUM(C175)=0),"wrong",IF(AND(C174=0,SUM(C175)&gt;0.1),"wrong"))))</f>
        <v>ok</v>
      </c>
    </row>
    <row r="175" spans="1:13">
      <c r="A175" s="155"/>
      <c r="B175" s="155" t="s">
        <v>617</v>
      </c>
      <c r="C175" s="105">
        <f>SUMIF('CH&amp;YP Gweithgaredd'!$C$4:$C$99967,"Cerddoriaeth",'CH&amp;YP Gweithgaredd'!$M$4:$M$99967)</f>
        <v>0</v>
      </c>
      <c r="D175" s="102">
        <f t="shared" si="27"/>
        <v>1</v>
      </c>
      <c r="E175" s="14"/>
      <c r="F175" s="14"/>
      <c r="G175" s="14"/>
      <c r="H175" s="14"/>
      <c r="I175" s="14"/>
      <c r="J175" s="14"/>
      <c r="K175" s="100"/>
      <c r="L175" s="102">
        <f t="shared" si="26"/>
        <v>1</v>
      </c>
      <c r="M175" s="102" t="str">
        <f t="shared" ref="M175" si="61">IF(C174&lt;=C175,"ok","wrong")</f>
        <v>ok</v>
      </c>
    </row>
    <row r="176" spans="1:13">
      <c r="A176" s="155"/>
      <c r="B176" s="155" t="s">
        <v>618</v>
      </c>
      <c r="C176" s="105">
        <f>SUMIF('CH&amp;YP Gweithgaredd'!$C$4:$C$99967,"Cerddoriaeth",'CH&amp;YP Gweithgaredd'!$I$4:$I$99967)</f>
        <v>0</v>
      </c>
      <c r="D176" s="102">
        <f t="shared" si="27"/>
        <v>1</v>
      </c>
      <c r="E176" s="14"/>
      <c r="F176" s="14"/>
      <c r="G176" s="14"/>
      <c r="H176" s="14"/>
      <c r="I176" s="14"/>
      <c r="J176" s="14"/>
      <c r="K176" s="100"/>
      <c r="L176" s="102">
        <f t="shared" si="26"/>
        <v>1</v>
      </c>
      <c r="M176" s="102" t="str">
        <f t="shared" ref="M176" si="62">IF(AND(C176&gt;=0.1,SUM(C177)&gt;=C176),"ok",IF(AND(C176=0,SUM(C177)=0),"ok",IF(AND(C176&gt;0.1,SUM(C177)=0),"wrong",IF(AND(C176=0,SUM(C177)&gt;0.1),"wrong"))))</f>
        <v>ok</v>
      </c>
    </row>
    <row r="177" spans="1:13">
      <c r="A177" s="155"/>
      <c r="B177" s="155" t="s">
        <v>619</v>
      </c>
      <c r="C177" s="105">
        <f>SUMIF('CH&amp;YP Gweithgaredd'!$C$4:$C$99967,"Cerddoriaeth",'CH&amp;YP Gweithgaredd'!$N$4:$N$99967)</f>
        <v>0</v>
      </c>
      <c r="D177" s="102">
        <f t="shared" si="27"/>
        <v>1</v>
      </c>
      <c r="E177" s="14"/>
      <c r="F177" s="14"/>
      <c r="G177" s="14"/>
      <c r="H177" s="14"/>
      <c r="I177" s="14"/>
      <c r="J177" s="14"/>
      <c r="K177" s="100"/>
      <c r="L177" s="102">
        <f t="shared" si="26"/>
        <v>1</v>
      </c>
      <c r="M177" s="102" t="str">
        <f t="shared" ref="M177" si="63">IF(C176&lt;=C177,"ok","wrong")</f>
        <v>ok</v>
      </c>
    </row>
    <row r="178" spans="1:13" ht="16">
      <c r="A178" s="106" t="s">
        <v>379</v>
      </c>
      <c r="B178" s="155" t="s">
        <v>610</v>
      </c>
      <c r="C178" s="105">
        <f>SUMIF('CH&amp;YP Gweithgaredd'!$C$4:$C$99967,"Opera",'CH&amp;YP Gweithgaredd'!$E$4:$E$99967)</f>
        <v>0</v>
      </c>
      <c r="D178" s="102">
        <f t="shared" si="27"/>
        <v>1</v>
      </c>
      <c r="E178" s="14"/>
      <c r="F178" s="14"/>
      <c r="G178" s="14"/>
      <c r="H178" s="14"/>
      <c r="I178" s="14"/>
      <c r="J178" s="14"/>
      <c r="K178" s="100"/>
      <c r="L178" s="102">
        <f t="shared" si="26"/>
        <v>1</v>
      </c>
      <c r="M178" s="102" t="str">
        <f t="shared" ref="M178" si="64">IF(AND(C178&gt;=0.1,SUM(C179)&gt;=C178),"ok",IF(AND(C178=0,SUM(C179)=0),"ok",IF(AND(C178&gt;0.1,SUM(C179)=0),"wrong",IF(AND(C178=0,SUM(C179)&gt;0.1),"wrong"))))</f>
        <v>ok</v>
      </c>
    </row>
    <row r="179" spans="1:13">
      <c r="A179" s="155"/>
      <c r="B179" s="155" t="s">
        <v>611</v>
      </c>
      <c r="C179" s="105">
        <f>SUMIF('CH&amp;YP Gweithgaredd'!$C$4:$C$99967,"Opera",'CH&amp;YP Gweithgaredd'!$J$4:$J$99967)</f>
        <v>0</v>
      </c>
      <c r="D179" s="102">
        <f t="shared" si="27"/>
        <v>1</v>
      </c>
      <c r="E179" s="14"/>
      <c r="F179" s="14"/>
      <c r="G179" s="14"/>
      <c r="H179" s="14"/>
      <c r="I179" s="14"/>
      <c r="J179" s="14"/>
      <c r="K179" s="100"/>
      <c r="L179" s="102">
        <f t="shared" si="26"/>
        <v>1</v>
      </c>
      <c r="M179" s="102" t="str">
        <f t="shared" ref="M179" si="65">IF(C178&lt;=C179,"ok","wrong")</f>
        <v>ok</v>
      </c>
    </row>
    <row r="180" spans="1:13">
      <c r="A180" s="155"/>
      <c r="B180" s="155" t="s">
        <v>612</v>
      </c>
      <c r="C180" s="105">
        <f>SUMIF('CH&amp;YP Gweithgaredd'!$C$4:$C$99967,"Opera",'CH&amp;YP Gweithgaredd'!$F$4:$F$99967)</f>
        <v>0</v>
      </c>
      <c r="D180" s="102">
        <f t="shared" si="27"/>
        <v>1</v>
      </c>
      <c r="E180" s="14"/>
      <c r="F180" s="14"/>
      <c r="G180" s="14"/>
      <c r="H180" s="14"/>
      <c r="I180" s="14"/>
      <c r="J180" s="14"/>
      <c r="K180" s="100"/>
      <c r="L180" s="102">
        <f t="shared" si="26"/>
        <v>1</v>
      </c>
      <c r="M180" s="102" t="str">
        <f t="shared" ref="M180" si="66">IF(AND(C180&gt;=0.1,SUM(C181)&gt;=C180),"ok",IF(AND(C180=0,SUM(C181)=0),"ok",IF(AND(C180&gt;0.1,SUM(C181)=0),"wrong",IF(AND(C180=0,SUM(C181)&gt;0.1),"wrong"))))</f>
        <v>ok</v>
      </c>
    </row>
    <row r="181" spans="1:13">
      <c r="A181" s="155"/>
      <c r="B181" s="155" t="s">
        <v>613</v>
      </c>
      <c r="C181" s="105">
        <f>SUMIF('CH&amp;YP Gweithgaredd'!$C$4:$C$99967,"Opera",'CH&amp;YP Gweithgaredd'!$K$4:$K$99967)</f>
        <v>0</v>
      </c>
      <c r="D181" s="102">
        <f t="shared" si="27"/>
        <v>1</v>
      </c>
      <c r="E181" s="14"/>
      <c r="F181" s="14"/>
      <c r="G181" s="14"/>
      <c r="H181" s="14"/>
      <c r="I181" s="14"/>
      <c r="J181" s="14"/>
      <c r="K181" s="100"/>
      <c r="L181" s="102">
        <f t="shared" si="26"/>
        <v>1</v>
      </c>
      <c r="M181" s="102" t="str">
        <f t="shared" ref="M181" si="67">IF(C180&lt;=C181,"ok","wrong")</f>
        <v>ok</v>
      </c>
    </row>
    <row r="182" spans="1:13">
      <c r="A182" s="155"/>
      <c r="B182" s="155" t="s">
        <v>614</v>
      </c>
      <c r="C182" s="105">
        <f>SUMIF('CH&amp;YP Gweithgaredd'!$C$4:$C$99967,"Opera",'CH&amp;YP Gweithgaredd'!$G$4:$G$99967)</f>
        <v>0</v>
      </c>
      <c r="D182" s="102">
        <f t="shared" si="27"/>
        <v>1</v>
      </c>
      <c r="E182" s="14"/>
      <c r="F182" s="14"/>
      <c r="G182" s="14"/>
      <c r="H182" s="14"/>
      <c r="I182" s="14"/>
      <c r="J182" s="14"/>
      <c r="K182" s="100"/>
      <c r="L182" s="102">
        <f t="shared" si="26"/>
        <v>1</v>
      </c>
      <c r="M182" s="102" t="str">
        <f t="shared" ref="M182" si="68">IF(AND(C182&gt;=0.1,SUM(C183)&gt;=C182),"ok",IF(AND(C182=0,SUM(C183)=0),"ok",IF(AND(C182&gt;0.1,SUM(C183)=0),"wrong",IF(AND(C182=0,SUM(C183)&gt;0.1),"wrong"))))</f>
        <v>ok</v>
      </c>
    </row>
    <row r="183" spans="1:13">
      <c r="A183" s="155"/>
      <c r="B183" s="155" t="s">
        <v>615</v>
      </c>
      <c r="C183" s="105">
        <f>SUMIF('CH&amp;YP Gweithgaredd'!$C$4:$C$99967,"Opera",'CH&amp;YP Gweithgaredd'!$L$4:$L$99967)</f>
        <v>0</v>
      </c>
      <c r="D183" s="102">
        <f t="shared" si="27"/>
        <v>1</v>
      </c>
      <c r="E183" s="14"/>
      <c r="F183" s="14"/>
      <c r="G183" s="14"/>
      <c r="H183" s="14"/>
      <c r="I183" s="14"/>
      <c r="J183" s="14"/>
      <c r="K183" s="100"/>
      <c r="L183" s="102">
        <f t="shared" si="26"/>
        <v>1</v>
      </c>
      <c r="M183" s="102" t="str">
        <f t="shared" ref="M183" si="69">IF(C182&lt;=C183,"ok","wrong")</f>
        <v>ok</v>
      </c>
    </row>
    <row r="184" spans="1:13">
      <c r="A184" s="155"/>
      <c r="B184" s="155" t="s">
        <v>616</v>
      </c>
      <c r="C184" s="105">
        <f>SUMIF('CH&amp;YP Gweithgaredd'!$C$4:$C$99967,"Opera",'CH&amp;YP Gweithgaredd'!$H$4:$H$99967)</f>
        <v>0</v>
      </c>
      <c r="D184" s="102">
        <f t="shared" si="27"/>
        <v>1</v>
      </c>
      <c r="E184" s="14"/>
      <c r="F184" s="14"/>
      <c r="G184" s="14"/>
      <c r="H184" s="14"/>
      <c r="I184" s="14"/>
      <c r="J184" s="14"/>
      <c r="K184" s="100"/>
      <c r="L184" s="102">
        <f t="shared" si="26"/>
        <v>1</v>
      </c>
      <c r="M184" s="102" t="str">
        <f t="shared" ref="M184" si="70">IF(AND(C184&gt;=0.1,SUM(C185)&gt;=C184),"ok",IF(AND(C184=0,SUM(C185)=0),"ok",IF(AND(C184&gt;0.1,SUM(C185)=0),"wrong",IF(AND(C184=0,SUM(C185)&gt;0.1),"wrong"))))</f>
        <v>ok</v>
      </c>
    </row>
    <row r="185" spans="1:13">
      <c r="A185" s="155"/>
      <c r="B185" s="155" t="s">
        <v>617</v>
      </c>
      <c r="C185" s="105">
        <f>SUMIF('CH&amp;YP Gweithgaredd'!$C$4:$C$99967,"Opera",'CH&amp;YP Gweithgaredd'!$M$4:$M$99967)</f>
        <v>0</v>
      </c>
      <c r="D185" s="102">
        <f t="shared" si="27"/>
        <v>1</v>
      </c>
      <c r="E185" s="14"/>
      <c r="F185" s="14"/>
      <c r="G185" s="14"/>
      <c r="H185" s="14"/>
      <c r="I185" s="14"/>
      <c r="J185" s="14"/>
      <c r="K185" s="100"/>
      <c r="L185" s="102">
        <f t="shared" si="26"/>
        <v>1</v>
      </c>
      <c r="M185" s="102" t="str">
        <f t="shared" ref="M185" si="71">IF(C184&lt;=C185,"ok","wrong")</f>
        <v>ok</v>
      </c>
    </row>
    <row r="186" spans="1:13">
      <c r="A186" s="155"/>
      <c r="B186" s="155" t="s">
        <v>618</v>
      </c>
      <c r="C186" s="105">
        <f>SUMIF('CH&amp;YP Gweithgaredd'!$C$4:$C$99967,"Opera",'CH&amp;YP Gweithgaredd'!$I$4:$I$99967)</f>
        <v>0</v>
      </c>
      <c r="D186" s="102">
        <f t="shared" si="27"/>
        <v>1</v>
      </c>
      <c r="E186" s="14"/>
      <c r="F186" s="14"/>
      <c r="G186" s="14"/>
      <c r="H186" s="14"/>
      <c r="I186" s="14"/>
      <c r="J186" s="14"/>
      <c r="K186" s="100"/>
      <c r="L186" s="102">
        <f t="shared" si="26"/>
        <v>1</v>
      </c>
      <c r="M186" s="102" t="str">
        <f t="shared" ref="M186" si="72">IF(AND(C186&gt;=0.1,SUM(C187)&gt;=C186),"ok",IF(AND(C186=0,SUM(C187)=0),"ok",IF(AND(C186&gt;0.1,SUM(C187)=0),"wrong",IF(AND(C186=0,SUM(C187)&gt;0.1),"wrong"))))</f>
        <v>ok</v>
      </c>
    </row>
    <row r="187" spans="1:13">
      <c r="A187" s="155"/>
      <c r="B187" s="155" t="s">
        <v>619</v>
      </c>
      <c r="C187" s="105">
        <f>SUMIF('CH&amp;YP Gweithgaredd'!$C$4:$C$99967,"Opera",'CH&amp;YP Gweithgaredd'!$N$4:$N$99967)</f>
        <v>0</v>
      </c>
      <c r="D187" s="102">
        <f t="shared" si="27"/>
        <v>1</v>
      </c>
      <c r="E187" s="14"/>
      <c r="F187" s="14"/>
      <c r="G187" s="14"/>
      <c r="H187" s="14"/>
      <c r="I187" s="14"/>
      <c r="J187" s="14"/>
      <c r="K187" s="100"/>
      <c r="L187" s="102">
        <f t="shared" si="26"/>
        <v>1</v>
      </c>
      <c r="M187" s="102" t="str">
        <f t="shared" ref="M187" si="73">IF(C186&lt;=C187,"ok","wrong")</f>
        <v>ok</v>
      </c>
    </row>
    <row r="188" spans="1:13" ht="16">
      <c r="A188" s="106" t="s">
        <v>381</v>
      </c>
      <c r="B188" s="155" t="s">
        <v>610</v>
      </c>
      <c r="C188" s="105">
        <f>SUMIF('CH&amp;YP Gweithgaredd'!$C$4:$C$99967,"Adloniant Theatr",'CH&amp;YP Gweithgaredd'!$E$4:$E$99967)</f>
        <v>0</v>
      </c>
      <c r="D188" s="102">
        <f t="shared" si="27"/>
        <v>1</v>
      </c>
      <c r="E188" s="14"/>
      <c r="F188" s="14"/>
      <c r="G188" s="14"/>
      <c r="H188" s="14"/>
      <c r="I188" s="14"/>
      <c r="J188" s="14"/>
      <c r="K188" s="100"/>
      <c r="L188" s="102">
        <f t="shared" si="26"/>
        <v>1</v>
      </c>
      <c r="M188" s="102" t="str">
        <f t="shared" ref="M188" si="74">IF(AND(C188&gt;=0.1,SUM(C189)&gt;=C188),"ok",IF(AND(C188=0,SUM(C189)=0),"ok",IF(AND(C188&gt;0.1,SUM(C189)=0),"wrong",IF(AND(C188=0,SUM(C189)&gt;0.1),"wrong"))))</f>
        <v>ok</v>
      </c>
    </row>
    <row r="189" spans="1:13">
      <c r="A189" s="155"/>
      <c r="B189" s="155" t="s">
        <v>611</v>
      </c>
      <c r="C189" s="105">
        <f>SUMIF('CH&amp;YP Gweithgaredd'!$C$4:$C$99967,"Adloniant Theatr",'CH&amp;YP Gweithgaredd'!$J$4:$J$99967)</f>
        <v>0</v>
      </c>
      <c r="D189" s="102">
        <f t="shared" si="27"/>
        <v>1</v>
      </c>
      <c r="E189" s="14"/>
      <c r="F189" s="14"/>
      <c r="G189" s="14"/>
      <c r="H189" s="14"/>
      <c r="I189" s="14"/>
      <c r="J189" s="14"/>
      <c r="K189" s="100"/>
      <c r="L189" s="102">
        <f t="shared" si="26"/>
        <v>1</v>
      </c>
      <c r="M189" s="102" t="str">
        <f t="shared" ref="M189" si="75">IF(C188&lt;=C189,"ok","wrong")</f>
        <v>ok</v>
      </c>
    </row>
    <row r="190" spans="1:13">
      <c r="A190" s="155"/>
      <c r="B190" s="155" t="s">
        <v>612</v>
      </c>
      <c r="C190" s="105">
        <f>SUMIF('CH&amp;YP Gweithgaredd'!$C$4:$C$99967,"Adloniant Theatr",'CH&amp;YP Gweithgaredd'!$F$4:$F$99967)</f>
        <v>0</v>
      </c>
      <c r="D190" s="102">
        <f t="shared" si="27"/>
        <v>1</v>
      </c>
      <c r="E190" s="14"/>
      <c r="F190" s="14"/>
      <c r="G190" s="14"/>
      <c r="H190" s="14"/>
      <c r="I190" s="14"/>
      <c r="J190" s="14"/>
      <c r="K190" s="100"/>
      <c r="L190" s="102">
        <f t="shared" si="26"/>
        <v>1</v>
      </c>
      <c r="M190" s="102" t="str">
        <f t="shared" ref="M190" si="76">IF(AND(C190&gt;=0.1,SUM(C191)&gt;=C190),"ok",IF(AND(C190=0,SUM(C191)=0),"ok",IF(AND(C190&gt;0.1,SUM(C191)=0),"wrong",IF(AND(C190=0,SUM(C191)&gt;0.1),"wrong"))))</f>
        <v>ok</v>
      </c>
    </row>
    <row r="191" spans="1:13">
      <c r="A191" s="155"/>
      <c r="B191" s="155" t="s">
        <v>613</v>
      </c>
      <c r="C191" s="105">
        <f>SUMIF('CH&amp;YP Gweithgaredd'!$C$4:$C$99967,"Adloniant Theatr",'CH&amp;YP Gweithgaredd'!$K$4:$K$99967)</f>
        <v>0</v>
      </c>
      <c r="D191" s="102">
        <f t="shared" si="27"/>
        <v>1</v>
      </c>
      <c r="E191" s="14"/>
      <c r="F191" s="14"/>
      <c r="G191" s="14"/>
      <c r="H191" s="14"/>
      <c r="I191" s="14"/>
      <c r="J191" s="14"/>
      <c r="K191" s="100"/>
      <c r="L191" s="102">
        <f t="shared" si="26"/>
        <v>1</v>
      </c>
      <c r="M191" s="102" t="str">
        <f t="shared" ref="M191" si="77">IF(C190&lt;=C191,"ok","wrong")</f>
        <v>ok</v>
      </c>
    </row>
    <row r="192" spans="1:13">
      <c r="A192" s="155"/>
      <c r="B192" s="155" t="s">
        <v>614</v>
      </c>
      <c r="C192" s="105">
        <f>SUMIF('CH&amp;YP Gweithgaredd'!$C$4:$C$99967,"Adloniant Theatr",'CH&amp;YP Gweithgaredd'!$G$4:$G$99967)</f>
        <v>0</v>
      </c>
      <c r="D192" s="102">
        <f t="shared" si="27"/>
        <v>1</v>
      </c>
      <c r="E192" s="14"/>
      <c r="F192" s="14"/>
      <c r="G192" s="14"/>
      <c r="H192" s="14"/>
      <c r="I192" s="14"/>
      <c r="J192" s="14"/>
      <c r="K192" s="100"/>
      <c r="L192" s="102">
        <f t="shared" si="26"/>
        <v>1</v>
      </c>
      <c r="M192" s="102" t="str">
        <f t="shared" ref="M192" si="78">IF(AND(C192&gt;=0.1,SUM(C193)&gt;=C192),"ok",IF(AND(C192=0,SUM(C193)=0),"ok",IF(AND(C192&gt;0.1,SUM(C193)=0),"wrong",IF(AND(C192=0,SUM(C193)&gt;0.1),"wrong"))))</f>
        <v>ok</v>
      </c>
    </row>
    <row r="193" spans="1:13">
      <c r="A193" s="155"/>
      <c r="B193" s="155" t="s">
        <v>615</v>
      </c>
      <c r="C193" s="105">
        <f>SUMIF('CH&amp;YP Gweithgaredd'!$C$4:$C$99967,"Adloniant Theatr",'CH&amp;YP Gweithgaredd'!$L$4:$L$99967)</f>
        <v>0</v>
      </c>
      <c r="D193" s="102">
        <f t="shared" si="27"/>
        <v>1</v>
      </c>
      <c r="E193" s="14"/>
      <c r="F193" s="14"/>
      <c r="G193" s="14"/>
      <c r="H193" s="14"/>
      <c r="I193" s="14"/>
      <c r="J193" s="14"/>
      <c r="K193" s="100"/>
      <c r="L193" s="102">
        <f t="shared" si="26"/>
        <v>1</v>
      </c>
      <c r="M193" s="102" t="str">
        <f t="shared" ref="M193" si="79">IF(C192&lt;=C193,"ok","wrong")</f>
        <v>ok</v>
      </c>
    </row>
    <row r="194" spans="1:13">
      <c r="A194" s="155"/>
      <c r="B194" s="155" t="s">
        <v>616</v>
      </c>
      <c r="C194" s="105">
        <f>SUMIF('CH&amp;YP Gweithgaredd'!$C$4:$C$99967,"Adloniant Theatr",'CH&amp;YP Gweithgaredd'!$H$4:$H$99967)</f>
        <v>0</v>
      </c>
      <c r="D194" s="102">
        <f t="shared" si="27"/>
        <v>1</v>
      </c>
      <c r="E194" s="14"/>
      <c r="F194" s="14"/>
      <c r="G194" s="14"/>
      <c r="H194" s="14"/>
      <c r="I194" s="14"/>
      <c r="J194" s="14"/>
      <c r="K194" s="100"/>
      <c r="L194" s="102">
        <f t="shared" si="26"/>
        <v>1</v>
      </c>
      <c r="M194" s="102" t="str">
        <f t="shared" ref="M194" si="80">IF(AND(C194&gt;=0.1,SUM(C195)&gt;=C194),"ok",IF(AND(C194=0,SUM(C195)=0),"ok",IF(AND(C194&gt;0.1,SUM(C195)=0),"wrong",IF(AND(C194=0,SUM(C195)&gt;0.1),"wrong"))))</f>
        <v>ok</v>
      </c>
    </row>
    <row r="195" spans="1:13">
      <c r="A195" s="155"/>
      <c r="B195" s="155" t="s">
        <v>617</v>
      </c>
      <c r="C195" s="105">
        <f>SUMIF('CH&amp;YP Gweithgaredd'!$C$4:$C$99967,"Adloniant Theatr",'CH&amp;YP Gweithgaredd'!$M$4:$M$99967)</f>
        <v>0</v>
      </c>
      <c r="D195" s="102">
        <f t="shared" si="27"/>
        <v>1</v>
      </c>
      <c r="E195" s="14"/>
      <c r="F195" s="14"/>
      <c r="G195" s="14"/>
      <c r="H195" s="14"/>
      <c r="I195" s="14"/>
      <c r="J195" s="14"/>
      <c r="K195" s="100"/>
      <c r="L195" s="102">
        <f t="shared" si="26"/>
        <v>1</v>
      </c>
      <c r="M195" s="102" t="str">
        <f t="shared" ref="M195" si="81">IF(C194&lt;=C195,"ok","wrong")</f>
        <v>ok</v>
      </c>
    </row>
    <row r="196" spans="1:13">
      <c r="A196" s="155"/>
      <c r="B196" s="155" t="s">
        <v>618</v>
      </c>
      <c r="C196" s="105">
        <f>SUMIF('CH&amp;YP Gweithgaredd'!$C$4:$C$99967,"Adloniant Theatr",'CH&amp;YP Gweithgaredd'!$I$4:$I$99967)</f>
        <v>0</v>
      </c>
      <c r="D196" s="102">
        <f t="shared" si="27"/>
        <v>1</v>
      </c>
      <c r="E196" s="14"/>
      <c r="F196" s="14"/>
      <c r="G196" s="14"/>
      <c r="H196" s="14"/>
      <c r="I196" s="14"/>
      <c r="J196" s="14"/>
      <c r="K196" s="100"/>
      <c r="L196" s="102">
        <f t="shared" si="26"/>
        <v>1</v>
      </c>
      <c r="M196" s="102" t="str">
        <f t="shared" ref="M196" si="82">IF(AND(C196&gt;=0.1,SUM(C197)&gt;=C196),"ok",IF(AND(C196=0,SUM(C197)=0),"ok",IF(AND(C196&gt;0.1,SUM(C197)=0),"wrong",IF(AND(C196=0,SUM(C197)&gt;0.1),"wrong"))))</f>
        <v>ok</v>
      </c>
    </row>
    <row r="197" spans="1:13">
      <c r="A197" s="155"/>
      <c r="B197" s="155" t="s">
        <v>619</v>
      </c>
      <c r="C197" s="105">
        <f>SUMIF('CH&amp;YP Gweithgaredd'!$C$4:$C$99967,"Adloniant Theatr",'CH&amp;YP Gweithgaredd'!$N$4:$N$99967)</f>
        <v>0</v>
      </c>
      <c r="D197" s="102">
        <f t="shared" si="27"/>
        <v>1</v>
      </c>
      <c r="E197" s="14"/>
      <c r="F197" s="14"/>
      <c r="G197" s="14"/>
      <c r="H197" s="14"/>
      <c r="I197" s="14"/>
      <c r="J197" s="14"/>
      <c r="K197" s="100"/>
      <c r="L197" s="102">
        <f t="shared" si="26"/>
        <v>1</v>
      </c>
      <c r="M197" s="102" t="str">
        <f t="shared" ref="M197" si="83">IF(C196&lt;=C197,"ok","wrong")</f>
        <v>ok</v>
      </c>
    </row>
    <row r="198" spans="1:13" ht="16">
      <c r="A198" s="106" t="s">
        <v>293</v>
      </c>
      <c r="B198" s="155" t="s">
        <v>610</v>
      </c>
      <c r="C198" s="105">
        <f>SUMIF('CH&amp;YP Gweithgaredd'!$C$4:$C$99967,"Celfyddydau Gweledol",'CH&amp;YP Gweithgaredd'!$E$4:$E$99967)</f>
        <v>0</v>
      </c>
      <c r="D198" s="102">
        <f t="shared" si="27"/>
        <v>1</v>
      </c>
      <c r="E198" s="14"/>
      <c r="F198" s="14"/>
      <c r="G198" s="14"/>
      <c r="H198" s="14"/>
      <c r="I198" s="14"/>
      <c r="J198" s="14"/>
      <c r="K198" s="100"/>
      <c r="L198" s="102">
        <f t="shared" si="26"/>
        <v>1</v>
      </c>
      <c r="M198" s="102" t="str">
        <f t="shared" ref="M198" si="84">IF(AND(C198&gt;=0.1,SUM(C199)&gt;=C198),"ok",IF(AND(C198=0,SUM(C199)=0),"ok",IF(AND(C198&gt;0.1,SUM(C199)=0),"wrong",IF(AND(C198=0,SUM(C199)&gt;0.1),"wrong"))))</f>
        <v>ok</v>
      </c>
    </row>
    <row r="199" spans="1:13">
      <c r="A199" s="155"/>
      <c r="B199" s="155" t="s">
        <v>611</v>
      </c>
      <c r="C199" s="105">
        <f>SUMIF('CH&amp;YP Gweithgaredd'!$C$4:$C$99967,"Celfyddydau Gweledol",'CH&amp;YP Gweithgaredd'!$J$4:$J$99967)</f>
        <v>0</v>
      </c>
      <c r="D199" s="102">
        <f t="shared" si="27"/>
        <v>1</v>
      </c>
      <c r="E199" s="14"/>
      <c r="F199" s="14"/>
      <c r="G199" s="14"/>
      <c r="H199" s="14"/>
      <c r="I199" s="14"/>
      <c r="J199" s="14"/>
      <c r="K199" s="100"/>
      <c r="L199" s="102">
        <f t="shared" si="26"/>
        <v>1</v>
      </c>
      <c r="M199" s="102" t="str">
        <f t="shared" ref="M199" si="85">IF(C198&lt;=C199,"ok","wrong")</f>
        <v>ok</v>
      </c>
    </row>
    <row r="200" spans="1:13">
      <c r="A200" s="155"/>
      <c r="B200" s="155" t="s">
        <v>612</v>
      </c>
      <c r="C200" s="105">
        <f>SUMIF('CH&amp;YP Gweithgaredd'!$C$4:$C$99967,"Celfyddydau Gweledol",'CH&amp;YP Gweithgaredd'!$F$4:$F$99967)</f>
        <v>0</v>
      </c>
      <c r="D200" s="102">
        <f t="shared" si="27"/>
        <v>1</v>
      </c>
      <c r="E200" s="14"/>
      <c r="F200" s="14"/>
      <c r="G200" s="14"/>
      <c r="H200" s="14"/>
      <c r="I200" s="14"/>
      <c r="J200" s="14"/>
      <c r="K200" s="100"/>
      <c r="L200" s="102">
        <f t="shared" si="26"/>
        <v>1</v>
      </c>
      <c r="M200" s="102" t="str">
        <f t="shared" ref="M200" si="86">IF(AND(C200&gt;=0.1,SUM(C201)&gt;=C200),"ok",IF(AND(C200=0,SUM(C201)=0),"ok",IF(AND(C200&gt;0.1,SUM(C201)=0),"wrong",IF(AND(C200=0,SUM(C201)&gt;0.1),"wrong"))))</f>
        <v>ok</v>
      </c>
    </row>
    <row r="201" spans="1:13">
      <c r="A201" s="155"/>
      <c r="B201" s="155" t="s">
        <v>613</v>
      </c>
      <c r="C201" s="105">
        <f>SUMIF('CH&amp;YP Gweithgaredd'!$C$4:$C$99967,"Celfyddydau Gweledol",'CH&amp;YP Gweithgaredd'!$K$4:$K$99967)</f>
        <v>0</v>
      </c>
      <c r="D201" s="102">
        <f t="shared" si="27"/>
        <v>1</v>
      </c>
      <c r="E201" s="14"/>
      <c r="F201" s="14"/>
      <c r="G201" s="14"/>
      <c r="H201" s="14"/>
      <c r="I201" s="14"/>
      <c r="J201" s="14"/>
      <c r="K201" s="100"/>
      <c r="L201" s="102">
        <f t="shared" si="26"/>
        <v>1</v>
      </c>
      <c r="M201" s="102" t="str">
        <f t="shared" ref="M201" si="87">IF(C200&lt;=C201,"ok","wrong")</f>
        <v>ok</v>
      </c>
    </row>
    <row r="202" spans="1:13">
      <c r="A202" s="155"/>
      <c r="B202" s="155" t="s">
        <v>614</v>
      </c>
      <c r="C202" s="105">
        <f>SUMIF('CH&amp;YP Gweithgaredd'!$C$4:$C$99967,"Celfyddydau Gweledol",'CH&amp;YP Gweithgaredd'!$G$4:$G$99967)</f>
        <v>0</v>
      </c>
      <c r="D202" s="102">
        <f t="shared" si="27"/>
        <v>1</v>
      </c>
      <c r="E202" s="14"/>
      <c r="F202" s="14"/>
      <c r="G202" s="14"/>
      <c r="H202" s="14"/>
      <c r="I202" s="14"/>
      <c r="J202" s="14"/>
      <c r="K202" s="100"/>
      <c r="L202" s="102">
        <f t="shared" si="26"/>
        <v>1</v>
      </c>
      <c r="M202" s="102" t="str">
        <f t="shared" ref="M202" si="88">IF(AND(C202&gt;=0.1,SUM(C203)&gt;=C202),"ok",IF(AND(C202=0,SUM(C203)=0),"ok",IF(AND(C202&gt;0.1,SUM(C203)=0),"wrong",IF(AND(C202=0,SUM(C203)&gt;0.1),"wrong"))))</f>
        <v>ok</v>
      </c>
    </row>
    <row r="203" spans="1:13">
      <c r="A203" s="155"/>
      <c r="B203" s="155" t="s">
        <v>615</v>
      </c>
      <c r="C203" s="105">
        <f>SUMIF('CH&amp;YP Gweithgaredd'!$C$4:$C$99967,"Celfyddydau Gweledol",'CH&amp;YP Gweithgaredd'!$L$4:$L$99967)</f>
        <v>0</v>
      </c>
      <c r="D203" s="102">
        <f t="shared" si="27"/>
        <v>1</v>
      </c>
      <c r="E203" s="14"/>
      <c r="F203" s="14"/>
      <c r="G203" s="14"/>
      <c r="H203" s="14"/>
      <c r="I203" s="14"/>
      <c r="J203" s="14"/>
      <c r="K203" s="100"/>
      <c r="L203" s="102">
        <f t="shared" ref="L203:L257" si="89">IF(M203="ok",1,0)</f>
        <v>1</v>
      </c>
      <c r="M203" s="102" t="str">
        <f t="shared" ref="M203" si="90">IF(C202&lt;=C203,"ok","wrong")</f>
        <v>ok</v>
      </c>
    </row>
    <row r="204" spans="1:13">
      <c r="A204" s="155"/>
      <c r="B204" s="155" t="s">
        <v>616</v>
      </c>
      <c r="C204" s="105">
        <f>SUMIF('CH&amp;YP Gweithgaredd'!$C$4:$C$99967,"Celfyddydau Gweledol",'CH&amp;YP Gweithgaredd'!$H$4:$H$99967)</f>
        <v>0</v>
      </c>
      <c r="D204" s="102">
        <f t="shared" si="27"/>
        <v>1</v>
      </c>
      <c r="E204" s="14"/>
      <c r="F204" s="14"/>
      <c r="G204" s="14"/>
      <c r="H204" s="14"/>
      <c r="I204" s="14"/>
      <c r="J204" s="14"/>
      <c r="K204" s="100"/>
      <c r="L204" s="102">
        <f t="shared" si="89"/>
        <v>1</v>
      </c>
      <c r="M204" s="102" t="str">
        <f t="shared" ref="M204" si="91">IF(AND(C204&gt;=0.1,SUM(C205)&gt;=C204),"ok",IF(AND(C204=0,SUM(C205)=0),"ok",IF(AND(C204&gt;0.1,SUM(C205)=0),"wrong",IF(AND(C204=0,SUM(C205)&gt;0.1),"wrong"))))</f>
        <v>ok</v>
      </c>
    </row>
    <row r="205" spans="1:13">
      <c r="A205" s="155"/>
      <c r="B205" s="155" t="s">
        <v>617</v>
      </c>
      <c r="C205" s="105">
        <f>SUMIF('CH&amp;YP Gweithgaredd'!$C$4:$C$99967,"Celfyddydau Gweledol",'CH&amp;YP Gweithgaredd'!$M$4:$M$99967)</f>
        <v>0</v>
      </c>
      <c r="D205" s="102">
        <f t="shared" si="27"/>
        <v>1</v>
      </c>
      <c r="E205" s="14"/>
      <c r="F205" s="14"/>
      <c r="G205" s="14"/>
      <c r="H205" s="14"/>
      <c r="I205" s="14"/>
      <c r="J205" s="14"/>
      <c r="K205" s="100"/>
      <c r="L205" s="102">
        <f t="shared" si="89"/>
        <v>1</v>
      </c>
      <c r="M205" s="102" t="str">
        <f t="shared" ref="M205" si="92">IF(C204&lt;=C205,"ok","wrong")</f>
        <v>ok</v>
      </c>
    </row>
    <row r="206" spans="1:13">
      <c r="A206" s="155"/>
      <c r="B206" s="155" t="s">
        <v>618</v>
      </c>
      <c r="C206" s="105">
        <f>SUMIF('CH&amp;YP Gweithgaredd'!$C$4:$C$99967,"Celfyddydau Gweledol",'CH&amp;YP Gweithgaredd'!$I$4:$I$99967)</f>
        <v>0</v>
      </c>
      <c r="D206" s="102">
        <f t="shared" ref="D206:D257" si="93">L206</f>
        <v>1</v>
      </c>
      <c r="E206" s="14"/>
      <c r="F206" s="14"/>
      <c r="G206" s="14"/>
      <c r="H206" s="14"/>
      <c r="I206" s="14"/>
      <c r="J206" s="14"/>
      <c r="K206" s="100"/>
      <c r="L206" s="102">
        <f t="shared" si="89"/>
        <v>1</v>
      </c>
      <c r="M206" s="102" t="str">
        <f t="shared" ref="M206" si="94">IF(AND(C206&gt;=0.1,SUM(C207)&gt;=C206),"ok",IF(AND(C206=0,SUM(C207)=0),"ok",IF(AND(C206&gt;0.1,SUM(C207)=0),"wrong",IF(AND(C206=0,SUM(C207)&gt;0.1),"wrong"))))</f>
        <v>ok</v>
      </c>
    </row>
    <row r="207" spans="1:13">
      <c r="A207" s="155"/>
      <c r="B207" s="155" t="s">
        <v>619</v>
      </c>
      <c r="C207" s="105">
        <f>SUMIF('CH&amp;YP Gweithgaredd'!$C$4:$C$99967,"Celfyddydau Gweledol",'CH&amp;YP Gweithgaredd'!$N$4:$N$99967)</f>
        <v>0</v>
      </c>
      <c r="D207" s="102">
        <f t="shared" si="93"/>
        <v>1</v>
      </c>
      <c r="E207" s="14"/>
      <c r="F207" s="14"/>
      <c r="G207" s="14"/>
      <c r="H207" s="14"/>
      <c r="I207" s="14"/>
      <c r="J207" s="14"/>
      <c r="K207" s="100"/>
      <c r="L207" s="102">
        <f t="shared" si="89"/>
        <v>1</v>
      </c>
      <c r="M207" s="102" t="str">
        <f t="shared" ref="M207" si="95">IF(C206&lt;=C207,"ok","wrong")</f>
        <v>ok</v>
      </c>
    </row>
    <row r="208" spans="1:13" ht="16">
      <c r="A208" s="106" t="s">
        <v>384</v>
      </c>
      <c r="B208" s="155" t="s">
        <v>610</v>
      </c>
      <c r="C208" s="105">
        <f>SUMIF('CH&amp;YP Gweithgaredd'!$C$4:$C$99967,"Crefft",'CH&amp;YP Gweithgaredd'!$E$4:$E$99967)</f>
        <v>0</v>
      </c>
      <c r="D208" s="102">
        <f t="shared" si="93"/>
        <v>1</v>
      </c>
      <c r="E208" s="14"/>
      <c r="F208" s="14"/>
      <c r="G208" s="14"/>
      <c r="H208" s="14"/>
      <c r="I208" s="14"/>
      <c r="J208" s="14"/>
      <c r="K208" s="100"/>
      <c r="L208" s="102">
        <f t="shared" si="89"/>
        <v>1</v>
      </c>
      <c r="M208" s="102" t="str">
        <f t="shared" ref="M208" si="96">IF(AND(C208&gt;=0.1,SUM(C209)&gt;=C208),"ok",IF(AND(C208=0,SUM(C209)=0),"ok",IF(AND(C208&gt;0.1,SUM(C209)=0),"wrong",IF(AND(C208=0,SUM(C209)&gt;0.1),"wrong"))))</f>
        <v>ok</v>
      </c>
    </row>
    <row r="209" spans="1:13">
      <c r="A209" s="155"/>
      <c r="B209" s="155" t="s">
        <v>611</v>
      </c>
      <c r="C209" s="105">
        <f>SUMIF('CH&amp;YP Gweithgaredd'!$C$4:$C$99967,"Crefft",'CH&amp;YP Gweithgaredd'!$J$4:$J$99967)</f>
        <v>0</v>
      </c>
      <c r="D209" s="102">
        <f t="shared" si="93"/>
        <v>1</v>
      </c>
      <c r="E209" s="14"/>
      <c r="F209" s="14"/>
      <c r="G209" s="14"/>
      <c r="H209" s="14"/>
      <c r="I209" s="14"/>
      <c r="J209" s="14"/>
      <c r="K209" s="100"/>
      <c r="L209" s="102">
        <f t="shared" si="89"/>
        <v>1</v>
      </c>
      <c r="M209" s="102" t="str">
        <f t="shared" ref="M209" si="97">IF(C208&lt;=C209,"ok","wrong")</f>
        <v>ok</v>
      </c>
    </row>
    <row r="210" spans="1:13">
      <c r="A210" s="155"/>
      <c r="B210" s="155" t="s">
        <v>612</v>
      </c>
      <c r="C210" s="105">
        <f>SUMIF('CH&amp;YP Gweithgaredd'!$C$4:$C$99967,"Crefft",'CH&amp;YP Gweithgaredd'!$F$4:$F$99967)</f>
        <v>0</v>
      </c>
      <c r="D210" s="102">
        <f t="shared" si="93"/>
        <v>1</v>
      </c>
      <c r="E210" s="14"/>
      <c r="F210" s="14"/>
      <c r="G210" s="14"/>
      <c r="H210" s="14"/>
      <c r="I210" s="14"/>
      <c r="J210" s="14"/>
      <c r="K210" s="100"/>
      <c r="L210" s="102">
        <f t="shared" si="89"/>
        <v>1</v>
      </c>
      <c r="M210" s="102" t="str">
        <f t="shared" ref="M210" si="98">IF(AND(C210&gt;=0.1,SUM(C211)&gt;=C210),"ok",IF(AND(C210=0,SUM(C211)=0),"ok",IF(AND(C210&gt;0.1,SUM(C211)=0),"wrong",IF(AND(C210=0,SUM(C211)&gt;0.1),"wrong"))))</f>
        <v>ok</v>
      </c>
    </row>
    <row r="211" spans="1:13">
      <c r="A211" s="155"/>
      <c r="B211" s="155" t="s">
        <v>613</v>
      </c>
      <c r="C211" s="105">
        <f>SUMIF('CH&amp;YP Gweithgaredd'!$C$4:$C$99967,"Crefft",'CH&amp;YP Gweithgaredd'!$K$4:$K$99967)</f>
        <v>0</v>
      </c>
      <c r="D211" s="102">
        <f t="shared" si="93"/>
        <v>1</v>
      </c>
      <c r="E211" s="14"/>
      <c r="F211" s="14"/>
      <c r="G211" s="14"/>
      <c r="H211" s="14"/>
      <c r="I211" s="14"/>
      <c r="J211" s="14"/>
      <c r="K211" s="100"/>
      <c r="L211" s="102">
        <f t="shared" si="89"/>
        <v>1</v>
      </c>
      <c r="M211" s="102" t="str">
        <f t="shared" ref="M211" si="99">IF(C210&lt;=C211,"ok","wrong")</f>
        <v>ok</v>
      </c>
    </row>
    <row r="212" spans="1:13">
      <c r="A212" s="155"/>
      <c r="B212" s="155" t="s">
        <v>614</v>
      </c>
      <c r="C212" s="105">
        <f>SUMIF('CH&amp;YP Gweithgaredd'!$C$4:$C$99967,"Crefft",'CH&amp;YP Gweithgaredd'!$G$4:$G$99967)</f>
        <v>0</v>
      </c>
      <c r="D212" s="102">
        <f t="shared" si="93"/>
        <v>1</v>
      </c>
      <c r="E212" s="14"/>
      <c r="F212" s="14"/>
      <c r="G212" s="14"/>
      <c r="H212" s="14"/>
      <c r="I212" s="14"/>
      <c r="J212" s="14"/>
      <c r="K212" s="100"/>
      <c r="L212" s="102">
        <f t="shared" si="89"/>
        <v>1</v>
      </c>
      <c r="M212" s="102" t="str">
        <f t="shared" ref="M212" si="100">IF(AND(C212&gt;=0.1,SUM(C213)&gt;=C212),"ok",IF(AND(C212=0,SUM(C213)=0),"ok",IF(AND(C212&gt;0.1,SUM(C213)=0),"wrong",IF(AND(C212=0,SUM(C213)&gt;0.1),"wrong"))))</f>
        <v>ok</v>
      </c>
    </row>
    <row r="213" spans="1:13">
      <c r="A213" s="155"/>
      <c r="B213" s="155" t="s">
        <v>615</v>
      </c>
      <c r="C213" s="105">
        <f>SUMIF('CH&amp;YP Gweithgaredd'!$C$4:$C$99967,"Crefft",'CH&amp;YP Gweithgaredd'!$L$4:$L$99967)</f>
        <v>0</v>
      </c>
      <c r="D213" s="102">
        <f t="shared" si="93"/>
        <v>1</v>
      </c>
      <c r="E213" s="14"/>
      <c r="F213" s="14"/>
      <c r="G213" s="14"/>
      <c r="H213" s="14"/>
      <c r="I213" s="14"/>
      <c r="J213" s="14"/>
      <c r="K213" s="100"/>
      <c r="L213" s="102">
        <f t="shared" si="89"/>
        <v>1</v>
      </c>
      <c r="M213" s="102" t="str">
        <f t="shared" ref="M213" si="101">IF(C212&lt;=C213,"ok","wrong")</f>
        <v>ok</v>
      </c>
    </row>
    <row r="214" spans="1:13">
      <c r="A214" s="155"/>
      <c r="B214" s="155" t="s">
        <v>616</v>
      </c>
      <c r="C214" s="105">
        <f>SUMIF('CH&amp;YP Gweithgaredd'!$C$4:$C$99967,"Crefft",'CH&amp;YP Gweithgaredd'!$H$4:$H$99967)</f>
        <v>0</v>
      </c>
      <c r="D214" s="102">
        <f t="shared" si="93"/>
        <v>1</v>
      </c>
      <c r="E214" s="14"/>
      <c r="F214" s="14"/>
      <c r="G214" s="14"/>
      <c r="H214" s="14"/>
      <c r="I214" s="14"/>
      <c r="J214" s="14"/>
      <c r="K214" s="100"/>
      <c r="L214" s="102">
        <f t="shared" si="89"/>
        <v>1</v>
      </c>
      <c r="M214" s="102" t="str">
        <f t="shared" ref="M214" si="102">IF(AND(C214&gt;=0.1,SUM(C215)&gt;=C214),"ok",IF(AND(C214=0,SUM(C215)=0),"ok",IF(AND(C214&gt;0.1,SUM(C215)=0),"wrong",IF(AND(C214=0,SUM(C215)&gt;0.1),"wrong"))))</f>
        <v>ok</v>
      </c>
    </row>
    <row r="215" spans="1:13">
      <c r="A215" s="155"/>
      <c r="B215" s="155" t="s">
        <v>617</v>
      </c>
      <c r="C215" s="105">
        <f>SUMIF('CH&amp;YP Gweithgaredd'!$C$4:$C$99967,"Crefft",'CH&amp;YP Gweithgaredd'!$M$4:$M$99967)</f>
        <v>0</v>
      </c>
      <c r="D215" s="102">
        <f t="shared" si="93"/>
        <v>1</v>
      </c>
      <c r="E215" s="14"/>
      <c r="F215" s="14"/>
      <c r="G215" s="14"/>
      <c r="H215" s="14"/>
      <c r="I215" s="14"/>
      <c r="J215" s="14"/>
      <c r="K215" s="100"/>
      <c r="L215" s="102">
        <f t="shared" si="89"/>
        <v>1</v>
      </c>
      <c r="M215" s="102" t="str">
        <f t="shared" ref="M215" si="103">IF(C214&lt;=C215,"ok","wrong")</f>
        <v>ok</v>
      </c>
    </row>
    <row r="216" spans="1:13">
      <c r="A216" s="155"/>
      <c r="B216" s="155" t="s">
        <v>618</v>
      </c>
      <c r="C216" s="105">
        <f>SUMIF('CH&amp;YP Gweithgaredd'!$C$4:$C$99967,"Crefft",'CH&amp;YP Gweithgaredd'!$I$4:$I$99967)</f>
        <v>0</v>
      </c>
      <c r="D216" s="102">
        <f t="shared" si="93"/>
        <v>1</v>
      </c>
      <c r="E216" s="14"/>
      <c r="F216" s="14"/>
      <c r="G216" s="14"/>
      <c r="H216" s="14"/>
      <c r="I216" s="14"/>
      <c r="J216" s="14"/>
      <c r="K216" s="100"/>
      <c r="L216" s="102">
        <f t="shared" si="89"/>
        <v>1</v>
      </c>
      <c r="M216" s="102" t="str">
        <f t="shared" ref="M216" si="104">IF(AND(C216&gt;=0.1,SUM(C217)&gt;=C216),"ok",IF(AND(C216=0,SUM(C217)=0),"ok",IF(AND(C216&gt;0.1,SUM(C217)=0),"wrong",IF(AND(C216=0,SUM(C217)&gt;0.1),"wrong"))))</f>
        <v>ok</v>
      </c>
    </row>
    <row r="217" spans="1:13">
      <c r="A217" s="155"/>
      <c r="B217" s="155" t="s">
        <v>619</v>
      </c>
      <c r="C217" s="105">
        <f>SUMIF('CH&amp;YP Gweithgaredd'!$C$4:$C$99967,"Crefft",'CH&amp;YP Gweithgaredd'!$N$4:$N$99967)</f>
        <v>0</v>
      </c>
      <c r="D217" s="102">
        <f t="shared" si="93"/>
        <v>1</v>
      </c>
      <c r="E217" s="14"/>
      <c r="F217" s="14"/>
      <c r="G217" s="14"/>
      <c r="H217" s="14"/>
      <c r="I217" s="14"/>
      <c r="J217" s="14"/>
      <c r="K217" s="100"/>
      <c r="L217" s="102">
        <f t="shared" si="89"/>
        <v>1</v>
      </c>
      <c r="M217" s="102" t="str">
        <f t="shared" ref="M217" si="105">IF(C216&lt;=C217,"ok","wrong")</f>
        <v>ok</v>
      </c>
    </row>
    <row r="218" spans="1:13" ht="16">
      <c r="A218" s="106" t="s">
        <v>385</v>
      </c>
      <c r="B218" s="155" t="s">
        <v>610</v>
      </c>
      <c r="C218" s="105">
        <f>SUMIF('CH&amp;YP Gweithgaredd'!$C$4:$C$99967,"Llenyddiaeth",'CH&amp;YP Gweithgaredd'!$E$4:$E$99967)</f>
        <v>0</v>
      </c>
      <c r="D218" s="102">
        <f t="shared" si="93"/>
        <v>1</v>
      </c>
      <c r="E218" s="14"/>
      <c r="F218" s="14"/>
      <c r="G218" s="14"/>
      <c r="H218" s="14"/>
      <c r="I218" s="14"/>
      <c r="J218" s="14"/>
      <c r="K218" s="100"/>
      <c r="L218" s="102">
        <f t="shared" si="89"/>
        <v>1</v>
      </c>
      <c r="M218" s="102" t="str">
        <f t="shared" ref="M218" si="106">IF(AND(C218&gt;=0.1,SUM(C219)&gt;=C218),"ok",IF(AND(C218=0,SUM(C219)=0),"ok",IF(AND(C218&gt;0.1,SUM(C219)=0),"wrong",IF(AND(C218=0,SUM(C219)&gt;0.1),"wrong"))))</f>
        <v>ok</v>
      </c>
    </row>
    <row r="219" spans="1:13">
      <c r="A219" s="155"/>
      <c r="B219" s="155" t="s">
        <v>611</v>
      </c>
      <c r="C219" s="105">
        <f>SUMIF('CH&amp;YP Gweithgaredd'!$C$4:$C$99967,"Llenyddiaeth",'CH&amp;YP Gweithgaredd'!$J$4:$J$99967)</f>
        <v>0</v>
      </c>
      <c r="D219" s="102">
        <f t="shared" si="93"/>
        <v>1</v>
      </c>
      <c r="E219" s="14"/>
      <c r="F219" s="14"/>
      <c r="G219" s="14"/>
      <c r="H219" s="14"/>
      <c r="I219" s="14"/>
      <c r="J219" s="14"/>
      <c r="K219" s="100"/>
      <c r="L219" s="102">
        <f t="shared" si="89"/>
        <v>1</v>
      </c>
      <c r="M219" s="102" t="str">
        <f t="shared" ref="M219" si="107">IF(C218&lt;=C219,"ok","wrong")</f>
        <v>ok</v>
      </c>
    </row>
    <row r="220" spans="1:13">
      <c r="A220" s="155"/>
      <c r="B220" s="155" t="s">
        <v>612</v>
      </c>
      <c r="C220" s="105">
        <f>SUMIF('CH&amp;YP Gweithgaredd'!$C$4:$C$99967,"Llenyddiaeth",'CH&amp;YP Gweithgaredd'!$F$4:$F$99967)</f>
        <v>0</v>
      </c>
      <c r="D220" s="102">
        <f t="shared" si="93"/>
        <v>1</v>
      </c>
      <c r="E220" s="14"/>
      <c r="F220" s="14"/>
      <c r="G220" s="14"/>
      <c r="H220" s="14"/>
      <c r="I220" s="14"/>
      <c r="J220" s="14"/>
      <c r="K220" s="100"/>
      <c r="L220" s="102">
        <f t="shared" si="89"/>
        <v>1</v>
      </c>
      <c r="M220" s="102" t="str">
        <f t="shared" ref="M220" si="108">IF(AND(C220&gt;=0.1,SUM(C221)&gt;=C220),"ok",IF(AND(C220=0,SUM(C221)=0),"ok",IF(AND(C220&gt;0.1,SUM(C221)=0),"wrong",IF(AND(C220=0,SUM(C221)&gt;0.1),"wrong"))))</f>
        <v>ok</v>
      </c>
    </row>
    <row r="221" spans="1:13">
      <c r="A221" s="155"/>
      <c r="B221" s="155" t="s">
        <v>613</v>
      </c>
      <c r="C221" s="105">
        <f>SUMIF('CH&amp;YP Gweithgaredd'!$C$4:$C$99967,"Llenyddiaeth",'CH&amp;YP Gweithgaredd'!$K$4:$K$99967)</f>
        <v>0</v>
      </c>
      <c r="D221" s="102">
        <f t="shared" si="93"/>
        <v>1</v>
      </c>
      <c r="E221" s="14"/>
      <c r="F221" s="14"/>
      <c r="G221" s="14"/>
      <c r="H221" s="14"/>
      <c r="I221" s="14"/>
      <c r="J221" s="14"/>
      <c r="K221" s="100"/>
      <c r="L221" s="102">
        <f t="shared" si="89"/>
        <v>1</v>
      </c>
      <c r="M221" s="102" t="str">
        <f t="shared" ref="M221" si="109">IF(C220&lt;=C221,"ok","wrong")</f>
        <v>ok</v>
      </c>
    </row>
    <row r="222" spans="1:13">
      <c r="A222" s="155"/>
      <c r="B222" s="155" t="s">
        <v>614</v>
      </c>
      <c r="C222" s="105">
        <f>SUMIF('CH&amp;YP Gweithgaredd'!$C$4:$C$99967,"Llenyddiaeth",'CH&amp;YP Gweithgaredd'!$G$4:$G$99967)</f>
        <v>0</v>
      </c>
      <c r="D222" s="102">
        <f t="shared" si="93"/>
        <v>1</v>
      </c>
      <c r="E222" s="14"/>
      <c r="F222" s="14"/>
      <c r="G222" s="14"/>
      <c r="H222" s="14"/>
      <c r="I222" s="14"/>
      <c r="J222" s="14"/>
      <c r="K222" s="100"/>
      <c r="L222" s="102">
        <f t="shared" si="89"/>
        <v>1</v>
      </c>
      <c r="M222" s="102" t="str">
        <f t="shared" ref="M222" si="110">IF(AND(C222&gt;=0.1,SUM(C223)&gt;=C222),"ok",IF(AND(C222=0,SUM(C223)=0),"ok",IF(AND(C222&gt;0.1,SUM(C223)=0),"wrong",IF(AND(C222=0,SUM(C223)&gt;0.1),"wrong"))))</f>
        <v>ok</v>
      </c>
    </row>
    <row r="223" spans="1:13">
      <c r="A223" s="155"/>
      <c r="B223" s="155" t="s">
        <v>615</v>
      </c>
      <c r="C223" s="105">
        <f>SUMIF('CH&amp;YP Gweithgaredd'!$C$4:$C$99967,"Llenyddiaeth",'CH&amp;YP Gweithgaredd'!$L$4:$L$99967)</f>
        <v>0</v>
      </c>
      <c r="D223" s="102">
        <f t="shared" si="93"/>
        <v>1</v>
      </c>
      <c r="E223" s="14"/>
      <c r="F223" s="14"/>
      <c r="G223" s="14"/>
      <c r="H223" s="14"/>
      <c r="I223" s="14"/>
      <c r="J223" s="14"/>
      <c r="K223" s="100"/>
      <c r="L223" s="102">
        <f t="shared" si="89"/>
        <v>1</v>
      </c>
      <c r="M223" s="102" t="str">
        <f t="shared" ref="M223" si="111">IF(C222&lt;=C223,"ok","wrong")</f>
        <v>ok</v>
      </c>
    </row>
    <row r="224" spans="1:13">
      <c r="A224" s="155"/>
      <c r="B224" s="155" t="s">
        <v>616</v>
      </c>
      <c r="C224" s="105">
        <f>SUMIF('CH&amp;YP Gweithgaredd'!$C$4:$C$99967,"Llenyddiaeth",'CH&amp;YP Gweithgaredd'!$H$4:$H$99967)</f>
        <v>0</v>
      </c>
      <c r="D224" s="102">
        <f t="shared" si="93"/>
        <v>1</v>
      </c>
      <c r="E224" s="14"/>
      <c r="F224" s="14"/>
      <c r="G224" s="14"/>
      <c r="H224" s="14"/>
      <c r="I224" s="14"/>
      <c r="J224" s="14"/>
      <c r="K224" s="100"/>
      <c r="L224" s="102">
        <f t="shared" si="89"/>
        <v>1</v>
      </c>
      <c r="M224" s="102" t="str">
        <f t="shared" ref="M224" si="112">IF(AND(C224&gt;=0.1,SUM(C225)&gt;=C224),"ok",IF(AND(C224=0,SUM(C225)=0),"ok",IF(AND(C224&gt;0.1,SUM(C225)=0),"wrong",IF(AND(C224=0,SUM(C225)&gt;0.1),"wrong"))))</f>
        <v>ok</v>
      </c>
    </row>
    <row r="225" spans="1:13">
      <c r="A225" s="155"/>
      <c r="B225" s="155" t="s">
        <v>617</v>
      </c>
      <c r="C225" s="105">
        <f>SUMIF('CH&amp;YP Gweithgaredd'!$C$4:$C$99967,"Llenyddiaeth",'CH&amp;YP Gweithgaredd'!$M$4:$M$99967)</f>
        <v>0</v>
      </c>
      <c r="D225" s="102">
        <f t="shared" si="93"/>
        <v>1</v>
      </c>
      <c r="E225" s="14"/>
      <c r="F225" s="14"/>
      <c r="G225" s="14"/>
      <c r="H225" s="14"/>
      <c r="I225" s="14"/>
      <c r="J225" s="14"/>
      <c r="K225" s="100"/>
      <c r="L225" s="102">
        <f t="shared" si="89"/>
        <v>1</v>
      </c>
      <c r="M225" s="102" t="str">
        <f t="shared" ref="M225" si="113">IF(C224&lt;=C225,"ok","wrong")</f>
        <v>ok</v>
      </c>
    </row>
    <row r="226" spans="1:13">
      <c r="A226" s="155"/>
      <c r="B226" s="155" t="s">
        <v>618</v>
      </c>
      <c r="C226" s="105">
        <f>SUMIF('CH&amp;YP Gweithgaredd'!$C$4:$C$99967,"Llenyddiaeth",'CH&amp;YP Gweithgaredd'!$I$4:$I$99967)</f>
        <v>0</v>
      </c>
      <c r="D226" s="102">
        <f t="shared" si="93"/>
        <v>1</v>
      </c>
      <c r="E226" s="14"/>
      <c r="F226" s="14"/>
      <c r="G226" s="14"/>
      <c r="H226" s="14"/>
      <c r="I226" s="14"/>
      <c r="J226" s="14"/>
      <c r="K226" s="100"/>
      <c r="L226" s="102">
        <f t="shared" si="89"/>
        <v>1</v>
      </c>
      <c r="M226" s="102" t="str">
        <f t="shared" ref="M226" si="114">IF(AND(C226&gt;=0.1,SUM(C227)&gt;=C226),"ok",IF(AND(C226=0,SUM(C227)=0),"ok",IF(AND(C226&gt;0.1,SUM(C227)=0),"wrong",IF(AND(C226=0,SUM(C227)&gt;0.1),"wrong"))))</f>
        <v>ok</v>
      </c>
    </row>
    <row r="227" spans="1:13">
      <c r="A227" s="155"/>
      <c r="B227" s="155" t="s">
        <v>619</v>
      </c>
      <c r="C227" s="105">
        <f>SUMIF('CH&amp;YP Gweithgaredd'!$C$4:$C$99967,"Llenyddiaeth",'CH&amp;YP Gweithgaredd'!$N$4:$N$99967)</f>
        <v>0</v>
      </c>
      <c r="D227" s="102">
        <f t="shared" si="93"/>
        <v>1</v>
      </c>
      <c r="E227" s="14"/>
      <c r="F227" s="14"/>
      <c r="G227" s="14"/>
      <c r="H227" s="14"/>
      <c r="I227" s="14"/>
      <c r="J227" s="14"/>
      <c r="K227" s="100"/>
      <c r="L227" s="102">
        <f t="shared" si="89"/>
        <v>1</v>
      </c>
      <c r="M227" s="102" t="str">
        <f t="shared" ref="M227" si="115">IF(C226&lt;=C227,"ok","wrong")</f>
        <v>ok</v>
      </c>
    </row>
    <row r="228" spans="1:13" ht="16">
      <c r="A228" s="106" t="s">
        <v>386</v>
      </c>
      <c r="B228" s="155" t="s">
        <v>610</v>
      </c>
      <c r="C228" s="105">
        <f>SUMIF('CH&amp;YP Gweithgaredd'!$C$4:$C$99967,"Celf Gyhoeddus",'CH&amp;YP Gweithgaredd'!$E$4:$E$99967)</f>
        <v>0</v>
      </c>
      <c r="D228" s="102">
        <f t="shared" si="93"/>
        <v>1</v>
      </c>
      <c r="E228" s="14"/>
      <c r="F228" s="14"/>
      <c r="G228" s="14"/>
      <c r="H228" s="14"/>
      <c r="I228" s="14"/>
      <c r="J228" s="14"/>
      <c r="K228" s="100"/>
      <c r="L228" s="102">
        <f t="shared" si="89"/>
        <v>1</v>
      </c>
      <c r="M228" s="102" t="str">
        <f t="shared" ref="M228" si="116">IF(AND(C228&gt;=0.1,SUM(C229)&gt;=C228),"ok",IF(AND(C228=0,SUM(C229)=0),"ok",IF(AND(C228&gt;0.1,SUM(C229)=0),"wrong",IF(AND(C228=0,SUM(C229)&gt;0.1),"wrong"))))</f>
        <v>ok</v>
      </c>
    </row>
    <row r="229" spans="1:13">
      <c r="A229" s="155"/>
      <c r="B229" s="155" t="s">
        <v>611</v>
      </c>
      <c r="C229" s="105">
        <f>SUMIF('CH&amp;YP Gweithgaredd'!$C$4:$C$99967,"Celf Gyhoeddus",'CH&amp;YP Gweithgaredd'!$J$4:$J$99967)</f>
        <v>0</v>
      </c>
      <c r="D229" s="102">
        <f t="shared" si="93"/>
        <v>1</v>
      </c>
      <c r="E229" s="14"/>
      <c r="F229" s="14"/>
      <c r="G229" s="14"/>
      <c r="H229" s="14"/>
      <c r="I229" s="14"/>
      <c r="J229" s="14"/>
      <c r="K229" s="100"/>
      <c r="L229" s="102">
        <f t="shared" si="89"/>
        <v>1</v>
      </c>
      <c r="M229" s="102" t="str">
        <f t="shared" ref="M229" si="117">IF(C228&lt;=C229,"ok","wrong")</f>
        <v>ok</v>
      </c>
    </row>
    <row r="230" spans="1:13">
      <c r="A230" s="155"/>
      <c r="B230" s="155" t="s">
        <v>612</v>
      </c>
      <c r="C230" s="105">
        <f>SUMIF('CH&amp;YP Gweithgaredd'!$C$4:$C$99967,"Celf Gyhoeddus",'CH&amp;YP Gweithgaredd'!$F$4:$F$99967)</f>
        <v>0</v>
      </c>
      <c r="D230" s="102">
        <f t="shared" si="93"/>
        <v>1</v>
      </c>
      <c r="E230" s="14"/>
      <c r="F230" s="14"/>
      <c r="G230" s="14"/>
      <c r="H230" s="14"/>
      <c r="I230" s="14"/>
      <c r="J230" s="14"/>
      <c r="K230" s="100"/>
      <c r="L230" s="102">
        <f t="shared" si="89"/>
        <v>1</v>
      </c>
      <c r="M230" s="102" t="str">
        <f t="shared" ref="M230" si="118">IF(AND(C230&gt;=0.1,SUM(C231)&gt;=C230),"ok",IF(AND(C230=0,SUM(C231)=0),"ok",IF(AND(C230&gt;0.1,SUM(C231)=0),"wrong",IF(AND(C230=0,SUM(C231)&gt;0.1),"wrong"))))</f>
        <v>ok</v>
      </c>
    </row>
    <row r="231" spans="1:13">
      <c r="A231" s="155"/>
      <c r="B231" s="155" t="s">
        <v>613</v>
      </c>
      <c r="C231" s="105">
        <f>SUMIF('CH&amp;YP Gweithgaredd'!$C$4:$C$99967,"Celf Gyhoeddus",'CH&amp;YP Gweithgaredd'!$K$4:$K$99967)</f>
        <v>0</v>
      </c>
      <c r="D231" s="102">
        <f t="shared" si="93"/>
        <v>1</v>
      </c>
      <c r="E231" s="14"/>
      <c r="F231" s="14"/>
      <c r="G231" s="14"/>
      <c r="H231" s="14"/>
      <c r="I231" s="14"/>
      <c r="J231" s="14"/>
      <c r="K231" s="100"/>
      <c r="L231" s="102">
        <f t="shared" si="89"/>
        <v>1</v>
      </c>
      <c r="M231" s="102" t="str">
        <f t="shared" ref="M231" si="119">IF(C230&lt;=C231,"ok","wrong")</f>
        <v>ok</v>
      </c>
    </row>
    <row r="232" spans="1:13">
      <c r="A232" s="155"/>
      <c r="B232" s="155" t="s">
        <v>614</v>
      </c>
      <c r="C232" s="105">
        <f>SUMIF('CH&amp;YP Gweithgaredd'!$C$4:$C$99967,"Celf Gyhoeddus",'CH&amp;YP Gweithgaredd'!$G$4:$G$99967)</f>
        <v>0</v>
      </c>
      <c r="D232" s="102">
        <f t="shared" si="93"/>
        <v>1</v>
      </c>
      <c r="E232" s="14"/>
      <c r="F232" s="14"/>
      <c r="G232" s="14"/>
      <c r="H232" s="14"/>
      <c r="I232" s="14"/>
      <c r="J232" s="14"/>
      <c r="K232" s="100"/>
      <c r="L232" s="102">
        <f t="shared" si="89"/>
        <v>1</v>
      </c>
      <c r="M232" s="102" t="str">
        <f t="shared" ref="M232" si="120">IF(AND(C232&gt;=0.1,SUM(C233)&gt;=C232),"ok",IF(AND(C232=0,SUM(C233)=0),"ok",IF(AND(C232&gt;0.1,SUM(C233)=0),"wrong",IF(AND(C232=0,SUM(C233)&gt;0.1),"wrong"))))</f>
        <v>ok</v>
      </c>
    </row>
    <row r="233" spans="1:13">
      <c r="A233" s="155"/>
      <c r="B233" s="155" t="s">
        <v>615</v>
      </c>
      <c r="C233" s="105">
        <f>SUMIF('CH&amp;YP Gweithgaredd'!$C$4:$C$99967,"Celf Gyhoeddus",'CH&amp;YP Gweithgaredd'!$L$4:$L$99967)</f>
        <v>0</v>
      </c>
      <c r="D233" s="102">
        <f t="shared" si="93"/>
        <v>1</v>
      </c>
      <c r="E233" s="14"/>
      <c r="F233" s="14"/>
      <c r="G233" s="14"/>
      <c r="H233" s="14"/>
      <c r="I233" s="14"/>
      <c r="J233" s="14"/>
      <c r="K233" s="100"/>
      <c r="L233" s="102">
        <f t="shared" si="89"/>
        <v>1</v>
      </c>
      <c r="M233" s="102" t="str">
        <f t="shared" ref="M233" si="121">IF(C232&lt;=C233,"ok","wrong")</f>
        <v>ok</v>
      </c>
    </row>
    <row r="234" spans="1:13">
      <c r="A234" s="155"/>
      <c r="B234" s="155" t="s">
        <v>616</v>
      </c>
      <c r="C234" s="105">
        <f>SUMIF('CH&amp;YP Gweithgaredd'!$C$4:$C$99967,"Celf Gyhoeddus",'CH&amp;YP Gweithgaredd'!$H$4:$H$99967)</f>
        <v>0</v>
      </c>
      <c r="D234" s="102">
        <f t="shared" si="93"/>
        <v>1</v>
      </c>
      <c r="E234" s="14"/>
      <c r="F234" s="14"/>
      <c r="G234" s="14"/>
      <c r="H234" s="14"/>
      <c r="I234" s="14"/>
      <c r="J234" s="14"/>
      <c r="K234" s="100"/>
      <c r="L234" s="102">
        <f t="shared" si="89"/>
        <v>1</v>
      </c>
      <c r="M234" s="102" t="str">
        <f t="shared" ref="M234" si="122">IF(AND(C234&gt;=0.1,SUM(C235)&gt;=C234),"ok",IF(AND(C234=0,SUM(C235)=0),"ok",IF(AND(C234&gt;0.1,SUM(C235)=0),"wrong",IF(AND(C234=0,SUM(C235)&gt;0.1),"wrong"))))</f>
        <v>ok</v>
      </c>
    </row>
    <row r="235" spans="1:13">
      <c r="A235" s="155"/>
      <c r="B235" s="155" t="s">
        <v>617</v>
      </c>
      <c r="C235" s="105">
        <f>SUMIF('CH&amp;YP Gweithgaredd'!$C$4:$C$99967,"Celf Gyhoeddus",'CH&amp;YP Gweithgaredd'!$M$4:$M$99967)</f>
        <v>0</v>
      </c>
      <c r="D235" s="102">
        <f t="shared" si="93"/>
        <v>1</v>
      </c>
      <c r="E235" s="14"/>
      <c r="F235" s="14"/>
      <c r="G235" s="14"/>
      <c r="H235" s="14"/>
      <c r="I235" s="14"/>
      <c r="J235" s="14"/>
      <c r="K235" s="100"/>
      <c r="L235" s="102">
        <f t="shared" si="89"/>
        <v>1</v>
      </c>
      <c r="M235" s="102" t="str">
        <f t="shared" ref="M235" si="123">IF(C234&lt;=C235,"ok","wrong")</f>
        <v>ok</v>
      </c>
    </row>
    <row r="236" spans="1:13">
      <c r="A236" s="155"/>
      <c r="B236" s="155" t="s">
        <v>618</v>
      </c>
      <c r="C236" s="105">
        <f>SUMIF('CH&amp;YP Gweithgaredd'!$C$4:$C$99967,"Celf Gyhoeddus",'CH&amp;YP Gweithgaredd'!$I$4:$I$99967)</f>
        <v>0</v>
      </c>
      <c r="D236" s="102">
        <f t="shared" si="93"/>
        <v>1</v>
      </c>
      <c r="E236" s="14"/>
      <c r="F236" s="14"/>
      <c r="G236" s="14"/>
      <c r="H236" s="14"/>
      <c r="I236" s="14"/>
      <c r="J236" s="14"/>
      <c r="K236" s="100"/>
      <c r="L236" s="102">
        <f t="shared" si="89"/>
        <v>1</v>
      </c>
      <c r="M236" s="102" t="str">
        <f t="shared" ref="M236" si="124">IF(AND(C236&gt;=0.1,SUM(C237)&gt;=C236),"ok",IF(AND(C236=0,SUM(C237)=0),"ok",IF(AND(C236&gt;0.1,SUM(C237)=0),"wrong",IF(AND(C236=0,SUM(C237)&gt;0.1),"wrong"))))</f>
        <v>ok</v>
      </c>
    </row>
    <row r="237" spans="1:13">
      <c r="A237" s="155"/>
      <c r="B237" s="155" t="s">
        <v>619</v>
      </c>
      <c r="C237" s="105">
        <f>SUMIF('CH&amp;YP Gweithgaredd'!$C$4:$C$99967,"Celf Gyhoeddus",'CH&amp;YP Gweithgaredd'!$N$4:$N$99967)</f>
        <v>0</v>
      </c>
      <c r="D237" s="102">
        <f t="shared" si="93"/>
        <v>1</v>
      </c>
      <c r="E237" s="14"/>
      <c r="F237" s="14"/>
      <c r="G237" s="14"/>
      <c r="H237" s="14"/>
      <c r="I237" s="14"/>
      <c r="J237" s="14"/>
      <c r="K237" s="100"/>
      <c r="L237" s="102">
        <f t="shared" si="89"/>
        <v>1</v>
      </c>
      <c r="M237" s="102" t="str">
        <f t="shared" ref="M237" si="125">IF(C236&lt;=C237,"ok","wrong")</f>
        <v>ok</v>
      </c>
    </row>
    <row r="238" spans="1:13" ht="16">
      <c r="A238" s="106" t="s">
        <v>620</v>
      </c>
      <c r="B238" s="155" t="s">
        <v>610</v>
      </c>
      <c r="C238" s="105">
        <f>SUMIF('CH&amp;YP Gweithgaredd'!$C$4:$C$99967,"Cynhyrchu Ffilm",'CH&amp;YP Gweithgaredd'!$E$4:$E$99967)</f>
        <v>0</v>
      </c>
      <c r="D238" s="102">
        <f t="shared" si="93"/>
        <v>1</v>
      </c>
      <c r="E238" s="14"/>
      <c r="F238" s="14"/>
      <c r="G238" s="14"/>
      <c r="H238" s="14"/>
      <c r="I238" s="14"/>
      <c r="J238" s="14"/>
      <c r="K238" s="100"/>
      <c r="L238" s="102">
        <f t="shared" si="89"/>
        <v>1</v>
      </c>
      <c r="M238" s="102" t="str">
        <f t="shared" ref="M238" si="126">IF(AND(C238&gt;=0.1,SUM(C239)&gt;=C238),"ok",IF(AND(C238=0,SUM(C239)=0),"ok",IF(AND(C238&gt;0.1,SUM(C239)=0),"wrong",IF(AND(C238=0,SUM(C239)&gt;0.1),"wrong"))))</f>
        <v>ok</v>
      </c>
    </row>
    <row r="239" spans="1:13">
      <c r="A239" s="155"/>
      <c r="B239" s="155" t="s">
        <v>611</v>
      </c>
      <c r="C239" s="105">
        <f>SUMIF('CH&amp;YP Gweithgaredd'!$C$4:$C$99967,"Cynhyrchu Ffilm",'CH&amp;YP Gweithgaredd'!$J$4:$J$99967)</f>
        <v>0</v>
      </c>
      <c r="D239" s="102">
        <f t="shared" si="93"/>
        <v>1</v>
      </c>
      <c r="E239" s="14"/>
      <c r="F239" s="14"/>
      <c r="G239" s="14"/>
      <c r="H239" s="14"/>
      <c r="I239" s="14"/>
      <c r="J239" s="14"/>
      <c r="K239" s="100"/>
      <c r="L239" s="102">
        <f t="shared" si="89"/>
        <v>1</v>
      </c>
      <c r="M239" s="102" t="str">
        <f t="shared" ref="M239" si="127">IF(C238&lt;=C239,"ok","wrong")</f>
        <v>ok</v>
      </c>
    </row>
    <row r="240" spans="1:13">
      <c r="A240" s="155"/>
      <c r="B240" s="155" t="s">
        <v>612</v>
      </c>
      <c r="C240" s="105">
        <f>SUMIF('CH&amp;YP Gweithgaredd'!$C$4:$C$99967,"Cynhyrchu Ffilm",'CH&amp;YP Gweithgaredd'!$F$4:$F$99967)</f>
        <v>0</v>
      </c>
      <c r="D240" s="102">
        <f t="shared" si="93"/>
        <v>1</v>
      </c>
      <c r="E240" s="14"/>
      <c r="F240" s="14"/>
      <c r="G240" s="14"/>
      <c r="H240" s="14"/>
      <c r="I240" s="14"/>
      <c r="J240" s="14"/>
      <c r="K240" s="100"/>
      <c r="L240" s="102">
        <f t="shared" si="89"/>
        <v>1</v>
      </c>
      <c r="M240" s="102" t="str">
        <f t="shared" ref="M240" si="128">IF(AND(C240&gt;=0.1,SUM(C241)&gt;=C240),"ok",IF(AND(C240=0,SUM(C241)=0),"ok",IF(AND(C240&gt;0.1,SUM(C241)=0),"wrong",IF(AND(C240=0,SUM(C241)&gt;0.1),"wrong"))))</f>
        <v>ok</v>
      </c>
    </row>
    <row r="241" spans="1:13">
      <c r="A241" s="155"/>
      <c r="B241" s="155" t="s">
        <v>613</v>
      </c>
      <c r="C241" s="105">
        <f>SUMIF('CH&amp;YP Gweithgaredd'!$C$4:$C$99967,"Cynhyrchu Ffilm",'CH&amp;YP Gweithgaredd'!$K$4:$K$99967)</f>
        <v>0</v>
      </c>
      <c r="D241" s="102">
        <f t="shared" si="93"/>
        <v>1</v>
      </c>
      <c r="E241" s="14"/>
      <c r="F241" s="14"/>
      <c r="G241" s="14"/>
      <c r="H241" s="14"/>
      <c r="I241" s="14"/>
      <c r="J241" s="14"/>
      <c r="K241" s="100"/>
      <c r="L241" s="102">
        <f t="shared" si="89"/>
        <v>1</v>
      </c>
      <c r="M241" s="102" t="str">
        <f t="shared" ref="M241" si="129">IF(C240&lt;=C241,"ok","wrong")</f>
        <v>ok</v>
      </c>
    </row>
    <row r="242" spans="1:13">
      <c r="A242" s="155"/>
      <c r="B242" s="155" t="s">
        <v>614</v>
      </c>
      <c r="C242" s="105">
        <f>SUMIF('CH&amp;YP Gweithgaredd'!$C$4:$C$99967,"Cynhyrchu Ffilm",'CH&amp;YP Gweithgaredd'!$G$4:$G$99967)</f>
        <v>0</v>
      </c>
      <c r="D242" s="102">
        <f t="shared" si="93"/>
        <v>1</v>
      </c>
      <c r="E242" s="14"/>
      <c r="F242" s="14"/>
      <c r="G242" s="14"/>
      <c r="H242" s="14"/>
      <c r="I242" s="14"/>
      <c r="J242" s="14"/>
      <c r="K242" s="100"/>
      <c r="L242" s="102">
        <f t="shared" si="89"/>
        <v>1</v>
      </c>
      <c r="M242" s="102" t="str">
        <f t="shared" ref="M242" si="130">IF(AND(C242&gt;=0.1,SUM(C243)&gt;=C242),"ok",IF(AND(C242=0,SUM(C243)=0),"ok",IF(AND(C242&gt;0.1,SUM(C243)=0),"wrong",IF(AND(C242=0,SUM(C243)&gt;0.1),"wrong"))))</f>
        <v>ok</v>
      </c>
    </row>
    <row r="243" spans="1:13">
      <c r="A243" s="155"/>
      <c r="B243" s="155" t="s">
        <v>615</v>
      </c>
      <c r="C243" s="105">
        <f>SUMIF('CH&amp;YP Gweithgaredd'!$C$4:$C$99967,"Cynhyrchu Ffilm",'CH&amp;YP Gweithgaredd'!$L$4:$L$99967)</f>
        <v>0</v>
      </c>
      <c r="D243" s="102">
        <f t="shared" si="93"/>
        <v>1</v>
      </c>
      <c r="E243" s="14"/>
      <c r="F243" s="14"/>
      <c r="G243" s="14"/>
      <c r="H243" s="14"/>
      <c r="I243" s="14"/>
      <c r="J243" s="14"/>
      <c r="K243" s="100"/>
      <c r="L243" s="102">
        <f t="shared" si="89"/>
        <v>1</v>
      </c>
      <c r="M243" s="102" t="str">
        <f t="shared" ref="M243" si="131">IF(C242&lt;=C243,"ok","wrong")</f>
        <v>ok</v>
      </c>
    </row>
    <row r="244" spans="1:13">
      <c r="A244" s="155"/>
      <c r="B244" s="155" t="s">
        <v>616</v>
      </c>
      <c r="C244" s="105">
        <f>SUMIF('CH&amp;YP Gweithgaredd'!$C$4:$C$99967,"Cynhyrchu Ffilm",'CH&amp;YP Gweithgaredd'!$H$4:$H$99967)</f>
        <v>0</v>
      </c>
      <c r="D244" s="102">
        <f t="shared" si="93"/>
        <v>1</v>
      </c>
      <c r="E244" s="14"/>
      <c r="F244" s="14"/>
      <c r="G244" s="14"/>
      <c r="H244" s="14"/>
      <c r="I244" s="14"/>
      <c r="J244" s="14"/>
      <c r="K244" s="100"/>
      <c r="L244" s="102">
        <f t="shared" si="89"/>
        <v>1</v>
      </c>
      <c r="M244" s="102" t="str">
        <f t="shared" ref="M244" si="132">IF(AND(C244&gt;=0.1,SUM(C245)&gt;=C244),"ok",IF(AND(C244=0,SUM(C245)=0),"ok",IF(AND(C244&gt;0.1,SUM(C245)=0),"wrong",IF(AND(C244=0,SUM(C245)&gt;0.1),"wrong"))))</f>
        <v>ok</v>
      </c>
    </row>
    <row r="245" spans="1:13">
      <c r="A245" s="155"/>
      <c r="B245" s="155" t="s">
        <v>617</v>
      </c>
      <c r="C245" s="105">
        <f>SUMIF('CH&amp;YP Gweithgaredd'!$C$4:$C$99967,"Cynhyrchu Ffilm",'CH&amp;YP Gweithgaredd'!$M$4:$M$99967)</f>
        <v>0</v>
      </c>
      <c r="D245" s="102">
        <f t="shared" si="93"/>
        <v>1</v>
      </c>
      <c r="E245" s="14"/>
      <c r="F245" s="14"/>
      <c r="G245" s="14"/>
      <c r="H245" s="14"/>
      <c r="I245" s="14"/>
      <c r="J245" s="14"/>
      <c r="K245" s="100"/>
      <c r="L245" s="102">
        <f t="shared" si="89"/>
        <v>1</v>
      </c>
      <c r="M245" s="102" t="str">
        <f t="shared" ref="M245" si="133">IF(C244&lt;=C245,"ok","wrong")</f>
        <v>ok</v>
      </c>
    </row>
    <row r="246" spans="1:13">
      <c r="A246" s="155"/>
      <c r="B246" s="155" t="s">
        <v>618</v>
      </c>
      <c r="C246" s="105">
        <f>SUMIF('CH&amp;YP Gweithgaredd'!$C$4:$C$99967,"Cynhyrchu Ffilm",'CH&amp;YP Gweithgaredd'!$I$4:$I$99967)</f>
        <v>0</v>
      </c>
      <c r="D246" s="102">
        <f t="shared" si="93"/>
        <v>1</v>
      </c>
      <c r="E246" s="14"/>
      <c r="F246" s="14"/>
      <c r="G246" s="14"/>
      <c r="H246" s="14"/>
      <c r="I246" s="14"/>
      <c r="J246" s="14"/>
      <c r="K246" s="100"/>
      <c r="L246" s="102">
        <f t="shared" si="89"/>
        <v>1</v>
      </c>
      <c r="M246" s="102" t="str">
        <f t="shared" ref="M246" si="134">IF(AND(C246&gt;=0.1,SUM(C247)&gt;=C246),"ok",IF(AND(C246=0,SUM(C247)=0),"ok",IF(AND(C246&gt;0.1,SUM(C247)=0),"wrong",IF(AND(C246=0,SUM(C247)&gt;0.1),"wrong"))))</f>
        <v>ok</v>
      </c>
    </row>
    <row r="247" spans="1:13">
      <c r="A247" s="155"/>
      <c r="B247" s="155" t="s">
        <v>619</v>
      </c>
      <c r="C247" s="105">
        <f>SUMIF('CH&amp;YP Gweithgaredd'!$C$4:$C$99967,"Cynhyrchu Ffilmiau",'CH&amp;YP Gweithgaredd'!$N$4:$N$99967)</f>
        <v>0</v>
      </c>
      <c r="D247" s="102">
        <f t="shared" si="93"/>
        <v>1</v>
      </c>
      <c r="E247" s="14"/>
      <c r="F247" s="14"/>
      <c r="G247" s="14"/>
      <c r="H247" s="14"/>
      <c r="I247" s="14"/>
      <c r="J247" s="14"/>
      <c r="K247" s="100"/>
      <c r="L247" s="102">
        <f t="shared" si="89"/>
        <v>1</v>
      </c>
      <c r="M247" s="102" t="str">
        <f t="shared" ref="M247" si="135">IF(C246&lt;=C247,"ok","wrong")</f>
        <v>ok</v>
      </c>
    </row>
    <row r="248" spans="1:13" ht="16">
      <c r="A248" s="106" t="s">
        <v>170</v>
      </c>
      <c r="B248" s="155" t="s">
        <v>610</v>
      </c>
      <c r="C248" s="105">
        <f>SUMIF('CH&amp;YP Gweithgaredd'!$C$4:$C$99967,"Arall",'CH&amp;YP Gweithgaredd'!$E$4:$E$99967)</f>
        <v>0</v>
      </c>
      <c r="D248" s="102">
        <f t="shared" si="93"/>
        <v>1</v>
      </c>
      <c r="E248" s="14"/>
      <c r="F248" s="14"/>
      <c r="G248" s="14"/>
      <c r="H248" s="14"/>
      <c r="I248" s="14"/>
      <c r="J248" s="14"/>
      <c r="K248" s="100"/>
      <c r="L248" s="102">
        <f t="shared" si="89"/>
        <v>1</v>
      </c>
      <c r="M248" s="102" t="str">
        <f t="shared" ref="M248" si="136">IF(AND(C248&gt;=0.1,SUM(C249)&gt;=C248),"ok",IF(AND(C248=0,SUM(C249)=0),"ok",IF(AND(C248&gt;0.1,SUM(C249)=0),"wrong",IF(AND(C248=0,SUM(C249)&gt;0.1),"wrong"))))</f>
        <v>ok</v>
      </c>
    </row>
    <row r="249" spans="1:13">
      <c r="A249" s="155"/>
      <c r="B249" s="155" t="s">
        <v>611</v>
      </c>
      <c r="C249" s="105">
        <f>SUMIF('CH&amp;YP Gweithgaredd'!$C$4:$C$99967,"Arall",'CH&amp;YP Gweithgaredd'!$J$4:$J$99967)</f>
        <v>0</v>
      </c>
      <c r="D249" s="102">
        <f t="shared" si="93"/>
        <v>1</v>
      </c>
      <c r="E249" s="14"/>
      <c r="F249" s="14"/>
      <c r="G249" s="14"/>
      <c r="H249" s="14"/>
      <c r="I249" s="14"/>
      <c r="J249" s="14"/>
      <c r="K249" s="100"/>
      <c r="L249" s="102">
        <f t="shared" si="89"/>
        <v>1</v>
      </c>
      <c r="M249" s="102" t="str">
        <f t="shared" ref="M249" si="137">IF(C248&lt;=C249,"ok","wrong")</f>
        <v>ok</v>
      </c>
    </row>
    <row r="250" spans="1:13">
      <c r="A250" s="155"/>
      <c r="B250" s="155" t="s">
        <v>612</v>
      </c>
      <c r="C250" s="105">
        <f>SUMIF('CH&amp;YP Gweithgaredd'!$C$4:$C$99967,"Arall",'CH&amp;YP Gweithgaredd'!$F$4:$F$99967)</f>
        <v>0</v>
      </c>
      <c r="D250" s="102">
        <f t="shared" si="93"/>
        <v>1</v>
      </c>
      <c r="E250" s="14"/>
      <c r="F250" s="14"/>
      <c r="G250" s="14"/>
      <c r="H250" s="14"/>
      <c r="I250" s="14"/>
      <c r="J250" s="14"/>
      <c r="K250" s="100"/>
      <c r="L250" s="102">
        <f t="shared" si="89"/>
        <v>1</v>
      </c>
      <c r="M250" s="102" t="str">
        <f t="shared" ref="M250" si="138">IF(AND(C250&gt;=0.1,SUM(C251)&gt;=C250),"ok",IF(AND(C250=0,SUM(C251)=0),"ok",IF(AND(C250&gt;0.1,SUM(C251)=0),"wrong",IF(AND(C250=0,SUM(C251)&gt;0.1),"wrong"))))</f>
        <v>ok</v>
      </c>
    </row>
    <row r="251" spans="1:13">
      <c r="A251" s="155"/>
      <c r="B251" s="155" t="s">
        <v>613</v>
      </c>
      <c r="C251" s="105">
        <f>SUMIF('CH&amp;YP Gweithgaredd'!$C$4:$C$99967,"Arall",'CH&amp;YP Gweithgaredd'!$K$4:$K$99967)</f>
        <v>0</v>
      </c>
      <c r="D251" s="102">
        <f t="shared" si="93"/>
        <v>1</v>
      </c>
      <c r="E251" s="14"/>
      <c r="F251" s="14"/>
      <c r="G251" s="14"/>
      <c r="H251" s="14"/>
      <c r="I251" s="14"/>
      <c r="J251" s="14"/>
      <c r="K251" s="100"/>
      <c r="L251" s="102">
        <f t="shared" si="89"/>
        <v>1</v>
      </c>
      <c r="M251" s="102" t="str">
        <f t="shared" ref="M251" si="139">IF(C250&lt;=C251,"ok","wrong")</f>
        <v>ok</v>
      </c>
    </row>
    <row r="252" spans="1:13">
      <c r="A252" s="155"/>
      <c r="B252" s="155" t="s">
        <v>614</v>
      </c>
      <c r="C252" s="105">
        <f>SUMIF('CH&amp;YP Gweithgaredd'!$C$4:$C$99967,"Arall",'CH&amp;YP Gweithgaredd'!$G$4:$G$99967)</f>
        <v>0</v>
      </c>
      <c r="D252" s="102">
        <f t="shared" si="93"/>
        <v>1</v>
      </c>
      <c r="E252" s="14"/>
      <c r="F252" s="14"/>
      <c r="G252" s="14"/>
      <c r="H252" s="14"/>
      <c r="I252" s="14"/>
      <c r="J252" s="14"/>
      <c r="K252" s="100"/>
      <c r="L252" s="102">
        <f t="shared" si="89"/>
        <v>1</v>
      </c>
      <c r="M252" s="102" t="str">
        <f t="shared" ref="M252" si="140">IF(AND(C252&gt;=0.1,SUM(C253)&gt;=C252),"ok",IF(AND(C252=0,SUM(C253)=0),"ok",IF(AND(C252&gt;0.1,SUM(C253)=0),"wrong",IF(AND(C252=0,SUM(C253)&gt;0.1),"wrong"))))</f>
        <v>ok</v>
      </c>
    </row>
    <row r="253" spans="1:13">
      <c r="A253" s="155"/>
      <c r="B253" s="155" t="s">
        <v>615</v>
      </c>
      <c r="C253" s="105">
        <f>SUMIF('CH&amp;YP Gweithgaredd'!$C$4:$C$99967,"Arall",'CH&amp;YP Gweithgaredd'!$L$4:$L$99967)</f>
        <v>0</v>
      </c>
      <c r="D253" s="102">
        <f t="shared" si="93"/>
        <v>1</v>
      </c>
      <c r="E253" s="14"/>
      <c r="F253" s="14"/>
      <c r="G253" s="14"/>
      <c r="H253" s="14"/>
      <c r="I253" s="14"/>
      <c r="J253" s="14"/>
      <c r="K253" s="100"/>
      <c r="L253" s="102">
        <f t="shared" si="89"/>
        <v>1</v>
      </c>
      <c r="M253" s="102" t="str">
        <f t="shared" ref="M253" si="141">IF(C252&lt;=C253,"ok","wrong")</f>
        <v>ok</v>
      </c>
    </row>
    <row r="254" spans="1:13">
      <c r="A254" s="155"/>
      <c r="B254" s="155" t="s">
        <v>616</v>
      </c>
      <c r="C254" s="105">
        <f>SUMIF('CH&amp;YP Gweithgaredd'!$C$4:$C$99967,"Arall",'CH&amp;YP Gweithgaredd'!$H$4:$H$99967)</f>
        <v>0</v>
      </c>
      <c r="D254" s="102">
        <f t="shared" si="93"/>
        <v>1</v>
      </c>
      <c r="E254" s="14"/>
      <c r="F254" s="14"/>
      <c r="G254" s="14"/>
      <c r="H254" s="14"/>
      <c r="I254" s="14"/>
      <c r="J254" s="14"/>
      <c r="K254" s="100"/>
      <c r="L254" s="102">
        <f t="shared" si="89"/>
        <v>1</v>
      </c>
      <c r="M254" s="102" t="str">
        <f t="shared" ref="M254" si="142">IF(AND(C254&gt;=0.1,SUM(C255)&gt;=C254),"ok",IF(AND(C254=0,SUM(C255)=0),"ok",IF(AND(C254&gt;0.1,SUM(C255)=0),"wrong",IF(AND(C254=0,SUM(C255)&gt;0.1),"wrong"))))</f>
        <v>ok</v>
      </c>
    </row>
    <row r="255" spans="1:13">
      <c r="A255" s="155"/>
      <c r="B255" s="155" t="s">
        <v>617</v>
      </c>
      <c r="C255" s="105">
        <f>SUMIF('CH&amp;YP Gweithgaredd'!$C$4:$C$99967,"Arall",'CH&amp;YP Gweithgaredd'!$M$4:$M$99967)</f>
        <v>0</v>
      </c>
      <c r="D255" s="102">
        <f t="shared" si="93"/>
        <v>1</v>
      </c>
      <c r="E255" s="14"/>
      <c r="F255" s="14"/>
      <c r="G255" s="14"/>
      <c r="H255" s="14"/>
      <c r="I255" s="14"/>
      <c r="J255" s="14"/>
      <c r="K255" s="100"/>
      <c r="L255" s="102">
        <f t="shared" si="89"/>
        <v>1</v>
      </c>
      <c r="M255" s="102" t="str">
        <f t="shared" ref="M255" si="143">IF(C254&lt;=C255,"ok","wrong")</f>
        <v>ok</v>
      </c>
    </row>
    <row r="256" spans="1:13">
      <c r="A256" s="155"/>
      <c r="B256" s="155" t="s">
        <v>618</v>
      </c>
      <c r="C256" s="105">
        <f>SUMIF('CH&amp;YP Gweithgaredd'!$C$4:$C$99967,"Arall",'CH&amp;YP Gweithgaredd'!$I$4:$I$99967)</f>
        <v>0</v>
      </c>
      <c r="D256" s="102">
        <f t="shared" si="93"/>
        <v>1</v>
      </c>
      <c r="E256" s="14"/>
      <c r="F256" s="14"/>
      <c r="G256" s="14"/>
      <c r="H256" s="14"/>
      <c r="I256" s="14"/>
      <c r="J256" s="14"/>
      <c r="K256" s="100"/>
      <c r="L256" s="102">
        <f t="shared" si="89"/>
        <v>1</v>
      </c>
      <c r="M256" s="102" t="str">
        <f t="shared" ref="M256" si="144">IF(AND(C256&gt;=0.1,SUM(C257)&gt;=C256),"ok",IF(AND(C256=0,SUM(C257)=0),"ok",IF(AND(C256&gt;0.1,SUM(C257)=0),"wrong",IF(AND(C256=0,SUM(C257)&gt;0.1),"wrong"))))</f>
        <v>ok</v>
      </c>
    </row>
    <row r="257" spans="1:13">
      <c r="A257" s="155"/>
      <c r="B257" s="155" t="s">
        <v>619</v>
      </c>
      <c r="C257" s="105">
        <f>SUMIF('CH&amp;YP Gweithgaredd'!$C$4:$C$99967,"Arall",'CH&amp;YP Gweithgaredd'!$N$4:$N$99967)</f>
        <v>0</v>
      </c>
      <c r="D257" s="102">
        <f t="shared" si="93"/>
        <v>1</v>
      </c>
      <c r="E257" s="14"/>
      <c r="F257" s="14"/>
      <c r="G257" s="14"/>
      <c r="H257" s="14"/>
      <c r="I257" s="14"/>
      <c r="J257" s="14"/>
      <c r="K257" s="100"/>
      <c r="L257" s="102">
        <f t="shared" si="89"/>
        <v>1</v>
      </c>
      <c r="M257" s="102" t="str">
        <f t="shared" ref="M257" si="145">IF(C256&lt;=C257,"ok","wrong")</f>
        <v>ok</v>
      </c>
    </row>
    <row r="258" spans="1:13">
      <c r="A258" s="155" t="s">
        <v>621</v>
      </c>
      <c r="B258" s="155" t="s">
        <v>622</v>
      </c>
      <c r="C258" s="105">
        <f>COUNTIF('CH&amp;YP Gweithgaredd'!$Q$4:$Q$99967,"Yn ystod oriau ysgol")</f>
        <v>0</v>
      </c>
      <c r="D258" s="14"/>
      <c r="E258" s="14"/>
      <c r="F258" s="14"/>
      <c r="G258" s="14"/>
      <c r="H258" s="14"/>
      <c r="I258" s="14"/>
      <c r="J258" s="14"/>
      <c r="K258" s="100"/>
      <c r="L258" s="102"/>
      <c r="M258" s="102"/>
    </row>
    <row r="259" spans="1:13">
      <c r="A259" s="155"/>
      <c r="B259" s="155" t="s">
        <v>623</v>
      </c>
      <c r="C259" s="105">
        <f>COUNTIF('CH&amp;YP Gweithgaredd'!$Q$4:$Q$99967,"Tu allan i oriau ysgol")</f>
        <v>0</v>
      </c>
      <c r="D259" s="14"/>
      <c r="E259" s="14"/>
      <c r="F259" s="14"/>
      <c r="G259" s="14"/>
      <c r="H259" s="14"/>
      <c r="I259" s="14"/>
      <c r="J259" s="14"/>
      <c r="K259" s="100"/>
      <c r="L259" s="102"/>
      <c r="M259" s="102"/>
    </row>
    <row r="260" spans="1:13">
      <c r="A260" s="155"/>
      <c r="B260" s="155" t="s">
        <v>624</v>
      </c>
      <c r="C260" s="105">
        <f>COUNTIF('CH&amp;YP Gweithgaredd'!$Q$4:$Q$99967,"Y ddau, yn ystod ac tu allan i oriau ysgol")</f>
        <v>0</v>
      </c>
      <c r="D260" s="14"/>
      <c r="E260" s="14"/>
      <c r="F260" s="14"/>
      <c r="G260" s="14"/>
      <c r="H260" s="14"/>
      <c r="I260" s="14"/>
      <c r="J260" s="14"/>
      <c r="K260" s="100"/>
      <c r="L260" s="102"/>
      <c r="M260" s="102"/>
    </row>
    <row r="261" spans="1:13">
      <c r="A261" s="155" t="s">
        <v>625</v>
      </c>
      <c r="B261" s="155"/>
      <c r="C261" s="155"/>
      <c r="D261" s="14"/>
      <c r="E261" s="14"/>
      <c r="F261" s="14"/>
      <c r="G261" s="14"/>
      <c r="H261" s="14"/>
      <c r="I261" s="14"/>
      <c r="J261" s="14"/>
      <c r="K261" s="100"/>
      <c r="L261" s="102"/>
      <c r="M261" s="102"/>
    </row>
    <row r="262" spans="1:13" ht="16">
      <c r="A262" s="106" t="s">
        <v>370</v>
      </c>
      <c r="B262" s="155" t="s">
        <v>610</v>
      </c>
      <c r="C262" s="105">
        <f>SUMIF('CH&amp;YP Gweithgaredd'!$C$4:$C$99967,"Dawns",'CH&amp;YP Gweithgaredd'!$S$4:$S$99967)</f>
        <v>0</v>
      </c>
      <c r="D262" s="102">
        <f t="shared" ref="D262:D325" si="146">L262</f>
        <v>1</v>
      </c>
      <c r="E262" s="14"/>
      <c r="F262" s="14"/>
      <c r="G262" s="14"/>
      <c r="H262" s="14"/>
      <c r="I262" s="14"/>
      <c r="J262" s="14"/>
      <c r="K262" s="100"/>
      <c r="L262" s="102">
        <f t="shared" ref="L262:L325" si="147">IF(M262="ok",1,0)</f>
        <v>1</v>
      </c>
      <c r="M262" s="102" t="str">
        <f t="shared" ref="M262" si="148">IF(AND(C262&gt;=0.1,SUM(C263)&gt;=C262),"ok",IF(AND(C262=0,SUM(C263)=0),"ok",IF(AND(C262&gt;0.1,SUM(C263)=0),"wrong",IF(AND(C262=0,SUM(C263)&gt;0.1),"wrong"))))</f>
        <v>ok</v>
      </c>
    </row>
    <row r="263" spans="1:13">
      <c r="A263" s="155"/>
      <c r="B263" s="155" t="s">
        <v>611</v>
      </c>
      <c r="C263" s="105">
        <f>SUMIF('CH&amp;YP Gweithgaredd'!$C$4:$C$99967,"Dawns",'CH&amp;YP Gweithgaredd'!$X$4:$X$99967)</f>
        <v>0</v>
      </c>
      <c r="D263" s="102">
        <f t="shared" si="146"/>
        <v>1</v>
      </c>
      <c r="E263" s="14"/>
      <c r="F263" s="14"/>
      <c r="G263" s="14"/>
      <c r="H263" s="14"/>
      <c r="I263" s="14"/>
      <c r="J263" s="14"/>
      <c r="K263" s="100"/>
      <c r="L263" s="102">
        <f t="shared" si="147"/>
        <v>1</v>
      </c>
      <c r="M263" s="102" t="str">
        <f t="shared" ref="M263" si="149">IF(C262&lt;=C263,"ok","wrong")</f>
        <v>ok</v>
      </c>
    </row>
    <row r="264" spans="1:13">
      <c r="A264" s="155"/>
      <c r="B264" s="155" t="s">
        <v>612</v>
      </c>
      <c r="C264" s="105">
        <f>SUMIF('CH&amp;YP Gweithgaredd'!$C$4:$C$99967,"Dawns",'CH&amp;YP Gweithgaredd'!$T$4:$T$99967)</f>
        <v>0</v>
      </c>
      <c r="D264" s="102">
        <f t="shared" si="146"/>
        <v>1</v>
      </c>
      <c r="E264" s="14"/>
      <c r="F264" s="14"/>
      <c r="G264" s="14"/>
      <c r="H264" s="14"/>
      <c r="I264" s="14"/>
      <c r="J264" s="14"/>
      <c r="K264" s="100"/>
      <c r="L264" s="102">
        <f t="shared" si="147"/>
        <v>1</v>
      </c>
      <c r="M264" s="102" t="str">
        <f t="shared" ref="M264" si="150">IF(AND(C264&gt;=0.1,SUM(C265)&gt;=C264),"ok",IF(AND(C264=0,SUM(C265)=0),"ok",IF(AND(C264&gt;0.1,SUM(C265)=0),"wrong",IF(AND(C264=0,SUM(C265)&gt;0.1),"wrong"))))</f>
        <v>ok</v>
      </c>
    </row>
    <row r="265" spans="1:13">
      <c r="A265" s="155"/>
      <c r="B265" s="155" t="s">
        <v>613</v>
      </c>
      <c r="C265" s="105">
        <f>SUMIF('CH&amp;YP Gweithgaredd'!$C$4:$C$99967,"Dawns",'CH&amp;YP Gweithgaredd'!$Y$4:$Y$99967)</f>
        <v>0</v>
      </c>
      <c r="D265" s="102">
        <f t="shared" si="146"/>
        <v>1</v>
      </c>
      <c r="E265" s="14"/>
      <c r="F265" s="14"/>
      <c r="G265" s="14"/>
      <c r="H265" s="14"/>
      <c r="I265" s="14"/>
      <c r="J265" s="14"/>
      <c r="K265" s="100"/>
      <c r="L265" s="102">
        <f t="shared" si="147"/>
        <v>1</v>
      </c>
      <c r="M265" s="102" t="str">
        <f t="shared" ref="M265" si="151">IF(C264&lt;=C265,"ok","wrong")</f>
        <v>ok</v>
      </c>
    </row>
    <row r="266" spans="1:13">
      <c r="A266" s="155"/>
      <c r="B266" s="155" t="s">
        <v>614</v>
      </c>
      <c r="C266" s="105">
        <f>SUMIF('CH&amp;YP Gweithgaredd'!$C$4:$C$99967,"Dawns",'CH&amp;YP Gweithgaredd'!$U$4:$U$99967)</f>
        <v>0</v>
      </c>
      <c r="D266" s="102">
        <f t="shared" si="146"/>
        <v>1</v>
      </c>
      <c r="E266" s="14"/>
      <c r="F266" s="14"/>
      <c r="G266" s="14"/>
      <c r="H266" s="14"/>
      <c r="I266" s="14"/>
      <c r="J266" s="14"/>
      <c r="K266" s="100"/>
      <c r="L266" s="102">
        <f t="shared" si="147"/>
        <v>1</v>
      </c>
      <c r="M266" s="102" t="str">
        <f t="shared" ref="M266" si="152">IF(AND(C266&gt;=0.1,SUM(C267)&gt;=C266),"ok",IF(AND(C266=0,SUM(C267)=0),"ok",IF(AND(C266&gt;0.1,SUM(C267)=0),"wrong",IF(AND(C266=0,SUM(C267)&gt;0.1),"wrong"))))</f>
        <v>ok</v>
      </c>
    </row>
    <row r="267" spans="1:13">
      <c r="A267" s="155"/>
      <c r="B267" s="155" t="s">
        <v>615</v>
      </c>
      <c r="C267" s="105">
        <f>SUMIF('CH&amp;YP Gweithgaredd'!$C$4:$C$99967,"Dawns",'CH&amp;YP Gweithgaredd'!$Z$4:$Z$99967)</f>
        <v>0</v>
      </c>
      <c r="D267" s="102">
        <f t="shared" si="146"/>
        <v>1</v>
      </c>
      <c r="E267" s="14"/>
      <c r="F267" s="14"/>
      <c r="G267" s="14"/>
      <c r="H267" s="14"/>
      <c r="I267" s="14"/>
      <c r="J267" s="14"/>
      <c r="K267" s="100"/>
      <c r="L267" s="102">
        <f t="shared" si="147"/>
        <v>1</v>
      </c>
      <c r="M267" s="102" t="str">
        <f t="shared" ref="M267" si="153">IF(C266&lt;=C267,"ok","wrong")</f>
        <v>ok</v>
      </c>
    </row>
    <row r="268" spans="1:13">
      <c r="A268" s="155"/>
      <c r="B268" s="155" t="s">
        <v>616</v>
      </c>
      <c r="C268" s="105">
        <f>SUMIF('CH&amp;YP Gweithgaredd'!$C$4:$C$99967,"Dawns",'CH&amp;YP Gweithgaredd'!$V$4:$V$99967)</f>
        <v>0</v>
      </c>
      <c r="D268" s="102">
        <f t="shared" si="146"/>
        <v>1</v>
      </c>
      <c r="E268" s="14"/>
      <c r="F268" s="14"/>
      <c r="G268" s="14"/>
      <c r="H268" s="14"/>
      <c r="I268" s="14"/>
      <c r="J268" s="14"/>
      <c r="K268" s="100"/>
      <c r="L268" s="102">
        <f t="shared" si="147"/>
        <v>1</v>
      </c>
      <c r="M268" s="102" t="str">
        <f t="shared" ref="M268" si="154">IF(AND(C268&gt;=0.1,SUM(C269)&gt;=C268),"ok",IF(AND(C268=0,SUM(C269)=0),"ok",IF(AND(C268&gt;0.1,SUM(C269)=0),"wrong",IF(AND(C268=0,SUM(C269)&gt;0.1),"wrong"))))</f>
        <v>ok</v>
      </c>
    </row>
    <row r="269" spans="1:13">
      <c r="A269" s="155"/>
      <c r="B269" s="155" t="s">
        <v>617</v>
      </c>
      <c r="C269" s="105">
        <f>SUMIF('CH&amp;YP Gweithgaredd'!$C$4:$C$99967,"Dawns",'CH&amp;YP Gweithgaredd'!$AA$4:$AA$99967)</f>
        <v>0</v>
      </c>
      <c r="D269" s="102">
        <f t="shared" si="146"/>
        <v>1</v>
      </c>
      <c r="E269" s="14"/>
      <c r="F269" s="14"/>
      <c r="G269" s="14"/>
      <c r="H269" s="14"/>
      <c r="I269" s="14"/>
      <c r="J269" s="14"/>
      <c r="K269" s="100"/>
      <c r="L269" s="102">
        <f t="shared" si="147"/>
        <v>1</v>
      </c>
      <c r="M269" s="102" t="str">
        <f t="shared" ref="M269" si="155">IF(C268&lt;=C269,"ok","wrong")</f>
        <v>ok</v>
      </c>
    </row>
    <row r="270" spans="1:13">
      <c r="A270" s="155"/>
      <c r="B270" s="155" t="s">
        <v>618</v>
      </c>
      <c r="C270" s="105">
        <f>SUMIF('CH&amp;YP Gweithgaredd'!$C$4:$C$99967,"Dawns",'CH&amp;YP Gweithgaredd'!$W$4:$W$99967)</f>
        <v>0</v>
      </c>
      <c r="D270" s="102">
        <f t="shared" si="146"/>
        <v>1</v>
      </c>
      <c r="E270" s="14"/>
      <c r="F270" s="14"/>
      <c r="G270" s="14"/>
      <c r="H270" s="14"/>
      <c r="I270" s="14"/>
      <c r="J270" s="14"/>
      <c r="K270" s="100"/>
      <c r="L270" s="102">
        <f t="shared" si="147"/>
        <v>1</v>
      </c>
      <c r="M270" s="102" t="str">
        <f t="shared" ref="M270" si="156">IF(AND(C270&gt;=0.1,SUM(C271)&gt;=C270),"ok",IF(AND(C270=0,SUM(C271)=0),"ok",IF(AND(C270&gt;0.1,SUM(C271)=0),"wrong",IF(AND(C270=0,SUM(C271)&gt;0.1),"wrong"))))</f>
        <v>ok</v>
      </c>
    </row>
    <row r="271" spans="1:13">
      <c r="A271" s="155"/>
      <c r="B271" s="155" t="s">
        <v>619</v>
      </c>
      <c r="C271" s="105">
        <f>SUMIF('CH&amp;YP Gweithgaredd'!$C$4:$C$99967,"Dawns",'CH&amp;YP Gweithgaredd'!$AB$4:$AB$99967)</f>
        <v>0</v>
      </c>
      <c r="D271" s="102">
        <f t="shared" si="146"/>
        <v>1</v>
      </c>
      <c r="E271" s="14"/>
      <c r="F271" s="14"/>
      <c r="G271" s="14"/>
      <c r="H271" s="14"/>
      <c r="I271" s="14"/>
      <c r="J271" s="14"/>
      <c r="K271" s="100"/>
      <c r="L271" s="102">
        <f t="shared" si="147"/>
        <v>1</v>
      </c>
      <c r="M271" s="102" t="str">
        <f t="shared" ref="M271" si="157">IF(C270&lt;=C271,"ok","wrong")</f>
        <v>ok</v>
      </c>
    </row>
    <row r="272" spans="1:13" ht="16">
      <c r="A272" s="106" t="s">
        <v>373</v>
      </c>
      <c r="B272" s="155" t="s">
        <v>610</v>
      </c>
      <c r="C272" s="105">
        <f>SUMIF('CH&amp;YP Gweithgaredd'!$C$4:$C$99967,"Amlddisgyblaethol",'CH&amp;YP Gweithgaredd'!$S$4:$S$99967)</f>
        <v>0</v>
      </c>
      <c r="D272" s="102">
        <f t="shared" si="146"/>
        <v>1</v>
      </c>
      <c r="E272" s="14"/>
      <c r="F272" s="14"/>
      <c r="G272" s="14"/>
      <c r="H272" s="14"/>
      <c r="I272" s="14"/>
      <c r="J272" s="14"/>
      <c r="K272" s="100"/>
      <c r="L272" s="102">
        <f t="shared" si="147"/>
        <v>1</v>
      </c>
      <c r="M272" s="102" t="str">
        <f t="shared" ref="M272" si="158">IF(AND(C272&gt;=0.1,SUM(C273)&gt;=C272),"ok",IF(AND(C272=0,SUM(C273)=0),"ok",IF(AND(C272&gt;0.1,SUM(C273)=0),"wrong",IF(AND(C272=0,SUM(C273)&gt;0.1),"wrong"))))</f>
        <v>ok</v>
      </c>
    </row>
    <row r="273" spans="1:13">
      <c r="A273" s="155"/>
      <c r="B273" s="155" t="s">
        <v>611</v>
      </c>
      <c r="C273" s="105">
        <f>SUMIF('CH&amp;YP Gweithgaredd'!$C$4:$C$99967,"Amlddisgyblaethol",'CH&amp;YP Gweithgaredd'!$X$4:$X$99967)</f>
        <v>0</v>
      </c>
      <c r="D273" s="102">
        <f t="shared" si="146"/>
        <v>1</v>
      </c>
      <c r="E273" s="14"/>
      <c r="F273" s="14"/>
      <c r="G273" s="14"/>
      <c r="H273" s="14"/>
      <c r="I273" s="14"/>
      <c r="J273" s="14"/>
      <c r="K273" s="100"/>
      <c r="L273" s="102">
        <f t="shared" si="147"/>
        <v>1</v>
      </c>
      <c r="M273" s="102" t="str">
        <f t="shared" ref="M273" si="159">IF(C272&lt;=C273,"ok","wrong")</f>
        <v>ok</v>
      </c>
    </row>
    <row r="274" spans="1:13">
      <c r="A274" s="155"/>
      <c r="B274" s="155" t="s">
        <v>612</v>
      </c>
      <c r="C274" s="105">
        <f>SUMIF('CH&amp;YP Gweithgaredd'!$C$4:$C$99967,"Amlddisgyblaethol",'CH&amp;YP Gweithgaredd'!$T$4:$T$99967)</f>
        <v>0</v>
      </c>
      <c r="D274" s="102">
        <f t="shared" si="146"/>
        <v>1</v>
      </c>
      <c r="E274" s="14"/>
      <c r="F274" s="14"/>
      <c r="G274" s="14"/>
      <c r="H274" s="14"/>
      <c r="I274" s="14"/>
      <c r="J274" s="14"/>
      <c r="K274" s="100"/>
      <c r="L274" s="102">
        <f t="shared" si="147"/>
        <v>1</v>
      </c>
      <c r="M274" s="102" t="str">
        <f t="shared" ref="M274" si="160">IF(AND(C274&gt;=0.1,SUM(C275)&gt;=C274),"ok",IF(AND(C274=0,SUM(C275)=0),"ok",IF(AND(C274&gt;0.1,SUM(C275)=0),"wrong",IF(AND(C274=0,SUM(C275)&gt;0.1),"wrong"))))</f>
        <v>ok</v>
      </c>
    </row>
    <row r="275" spans="1:13">
      <c r="A275" s="155"/>
      <c r="B275" s="155" t="s">
        <v>613</v>
      </c>
      <c r="C275" s="105">
        <f>SUMIF('CH&amp;YP Gweithgaredd'!$C$4:$C$99967,"Amlddisgyblaethol",'CH&amp;YP Gweithgaredd'!$Y$4:$Y$99967)</f>
        <v>0</v>
      </c>
      <c r="D275" s="102">
        <f t="shared" si="146"/>
        <v>1</v>
      </c>
      <c r="E275" s="14"/>
      <c r="F275" s="14"/>
      <c r="G275" s="14"/>
      <c r="H275" s="14"/>
      <c r="I275" s="14"/>
      <c r="J275" s="14"/>
      <c r="K275" s="100"/>
      <c r="L275" s="102">
        <f t="shared" si="147"/>
        <v>1</v>
      </c>
      <c r="M275" s="102" t="str">
        <f t="shared" ref="M275" si="161">IF(C274&lt;=C275,"ok","wrong")</f>
        <v>ok</v>
      </c>
    </row>
    <row r="276" spans="1:13">
      <c r="A276" s="155"/>
      <c r="B276" s="155" t="s">
        <v>614</v>
      </c>
      <c r="C276" s="105">
        <f>SUMIF('CH&amp;YP Gweithgaredd'!$C$4:$C$99967,"Amlddisgyblaethol",'CH&amp;YP Gweithgaredd'!$U$4:$U$99967)</f>
        <v>0</v>
      </c>
      <c r="D276" s="102">
        <f t="shared" si="146"/>
        <v>1</v>
      </c>
      <c r="E276" s="14"/>
      <c r="F276" s="14"/>
      <c r="G276" s="14"/>
      <c r="H276" s="14"/>
      <c r="I276" s="14"/>
      <c r="J276" s="14"/>
      <c r="K276" s="100"/>
      <c r="L276" s="102">
        <f t="shared" si="147"/>
        <v>1</v>
      </c>
      <c r="M276" s="102" t="str">
        <f t="shared" ref="M276" si="162">IF(AND(C276&gt;=0.1,SUM(C277)&gt;=C276),"ok",IF(AND(C276=0,SUM(C277)=0),"ok",IF(AND(C276&gt;0.1,SUM(C277)=0),"wrong",IF(AND(C276=0,SUM(C277)&gt;0.1),"wrong"))))</f>
        <v>ok</v>
      </c>
    </row>
    <row r="277" spans="1:13">
      <c r="A277" s="155"/>
      <c r="B277" s="155" t="s">
        <v>615</v>
      </c>
      <c r="C277" s="105">
        <f>SUMIF('CH&amp;YP Gweithgaredd'!$C$4:$C$99967,"Amlddisgyblaethol",'CH&amp;YP Gweithgaredd'!$Z$4:$Z$99967)</f>
        <v>0</v>
      </c>
      <c r="D277" s="102">
        <f t="shared" si="146"/>
        <v>1</v>
      </c>
      <c r="E277" s="14"/>
      <c r="F277" s="14"/>
      <c r="G277" s="14"/>
      <c r="H277" s="14"/>
      <c r="I277" s="14"/>
      <c r="J277" s="14"/>
      <c r="K277" s="100"/>
      <c r="L277" s="102">
        <f t="shared" si="147"/>
        <v>1</v>
      </c>
      <c r="M277" s="102" t="str">
        <f t="shared" ref="M277" si="163">IF(C276&lt;=C277,"ok","wrong")</f>
        <v>ok</v>
      </c>
    </row>
    <row r="278" spans="1:13">
      <c r="A278" s="155"/>
      <c r="B278" s="155" t="s">
        <v>616</v>
      </c>
      <c r="C278" s="105">
        <f>SUMIF('CH&amp;YP Gweithgaredd'!$C$4:$C$99967,"Amlddisgyblaethol",'CH&amp;YP Gweithgaredd'!$V$4:$V$99967)</f>
        <v>0</v>
      </c>
      <c r="D278" s="102">
        <f t="shared" si="146"/>
        <v>1</v>
      </c>
      <c r="E278" s="14"/>
      <c r="F278" s="14"/>
      <c r="G278" s="14"/>
      <c r="H278" s="14"/>
      <c r="I278" s="14"/>
      <c r="J278" s="14"/>
      <c r="K278" s="100"/>
      <c r="L278" s="102">
        <f t="shared" si="147"/>
        <v>1</v>
      </c>
      <c r="M278" s="102" t="str">
        <f t="shared" ref="M278" si="164">IF(AND(C278&gt;=0.1,SUM(C279)&gt;=C278),"ok",IF(AND(C278=0,SUM(C279)=0),"ok",IF(AND(C278&gt;0.1,SUM(C279)=0),"wrong",IF(AND(C278=0,SUM(C279)&gt;0.1),"wrong"))))</f>
        <v>ok</v>
      </c>
    </row>
    <row r="279" spans="1:13">
      <c r="A279" s="155"/>
      <c r="B279" s="155" t="s">
        <v>617</v>
      </c>
      <c r="C279" s="105">
        <f>SUMIF('CH&amp;YP Gweithgaredd'!$C$4:$C$99967,"Amlddisgyblaethol",'CH&amp;YP Gweithgaredd'!$AA$4:$AA$99967)</f>
        <v>0</v>
      </c>
      <c r="D279" s="102">
        <f t="shared" si="146"/>
        <v>1</v>
      </c>
      <c r="E279" s="14"/>
      <c r="F279" s="14"/>
      <c r="G279" s="14"/>
      <c r="H279" s="14"/>
      <c r="I279" s="14"/>
      <c r="J279" s="14"/>
      <c r="K279" s="100"/>
      <c r="L279" s="102">
        <f t="shared" si="147"/>
        <v>1</v>
      </c>
      <c r="M279" s="102" t="str">
        <f t="shared" ref="M279" si="165">IF(C278&lt;=C279,"ok","wrong")</f>
        <v>ok</v>
      </c>
    </row>
    <row r="280" spans="1:13">
      <c r="A280" s="155"/>
      <c r="B280" s="155" t="s">
        <v>618</v>
      </c>
      <c r="C280" s="105">
        <f>SUMIF('CH&amp;YP Gweithgaredd'!$C$4:$C$99967,"Amlddisgyblaethol",'CH&amp;YP Gweithgaredd'!$W$4:$W$99967)</f>
        <v>0</v>
      </c>
      <c r="D280" s="102">
        <f t="shared" si="146"/>
        <v>1</v>
      </c>
      <c r="E280" s="14"/>
      <c r="F280" s="14"/>
      <c r="G280" s="14"/>
      <c r="H280" s="14"/>
      <c r="I280" s="14"/>
      <c r="J280" s="14"/>
      <c r="K280" s="100"/>
      <c r="L280" s="102">
        <f t="shared" si="147"/>
        <v>1</v>
      </c>
      <c r="M280" s="102" t="str">
        <f t="shared" ref="M280" si="166">IF(AND(C280&gt;=0.1,SUM(C281)&gt;=C280),"ok",IF(AND(C280=0,SUM(C281)=0),"ok",IF(AND(C280&gt;0.1,SUM(C281)=0),"wrong",IF(AND(C280=0,SUM(C281)&gt;0.1),"wrong"))))</f>
        <v>ok</v>
      </c>
    </row>
    <row r="281" spans="1:13">
      <c r="A281" s="155"/>
      <c r="B281" s="155" t="s">
        <v>619</v>
      </c>
      <c r="C281" s="105">
        <f>SUMIF('CH&amp;YP Gweithgaredd'!$C$4:$C$99967,"Amlddisgyblaethol",'CH&amp;YP Gweithgaredd'!$AB$4:$AB$99967)</f>
        <v>0</v>
      </c>
      <c r="D281" s="102">
        <f t="shared" si="146"/>
        <v>1</v>
      </c>
      <c r="E281" s="14"/>
      <c r="F281" s="14"/>
      <c r="G281" s="14"/>
      <c r="H281" s="14"/>
      <c r="I281" s="14"/>
      <c r="J281" s="14"/>
      <c r="K281" s="100"/>
      <c r="L281" s="102">
        <f t="shared" si="147"/>
        <v>1</v>
      </c>
      <c r="M281" s="102" t="str">
        <f t="shared" ref="M281" si="167">IF(C280&lt;=C281,"ok","wrong")</f>
        <v>ok</v>
      </c>
    </row>
    <row r="282" spans="1:13" ht="16">
      <c r="A282" s="106" t="s">
        <v>376</v>
      </c>
      <c r="B282" s="155" t="s">
        <v>610</v>
      </c>
      <c r="C282" s="105">
        <f>SUMIF('CH&amp;YP Gweithgaredd'!$C$4:$C$99967,"Drama",'CH&amp;YP Gweithgaredd'!$S$4:$S$99967)</f>
        <v>0</v>
      </c>
      <c r="D282" s="102">
        <f t="shared" si="146"/>
        <v>1</v>
      </c>
      <c r="E282" s="14"/>
      <c r="F282" s="14"/>
      <c r="G282" s="14"/>
      <c r="H282" s="14"/>
      <c r="I282" s="14"/>
      <c r="J282" s="14"/>
      <c r="K282" s="100"/>
      <c r="L282" s="102">
        <f t="shared" si="147"/>
        <v>1</v>
      </c>
      <c r="M282" s="102" t="str">
        <f t="shared" ref="M282" si="168">IF(AND(C282&gt;=0.1,SUM(C283)&gt;=C282),"ok",IF(AND(C282=0,SUM(C283)=0),"ok",IF(AND(C282&gt;0.1,SUM(C283)=0),"wrong",IF(AND(C282=0,SUM(C283)&gt;0.1),"wrong"))))</f>
        <v>ok</v>
      </c>
    </row>
    <row r="283" spans="1:13">
      <c r="A283" s="155"/>
      <c r="B283" s="155" t="s">
        <v>611</v>
      </c>
      <c r="C283" s="105">
        <f>SUMIF('CH&amp;YP Gweithgaredd'!$C$4:$C$99967,"Drama",'CH&amp;YP Gweithgaredd'!$X$4:$X$99967)</f>
        <v>0</v>
      </c>
      <c r="D283" s="102">
        <f t="shared" si="146"/>
        <v>1</v>
      </c>
      <c r="E283" s="14"/>
      <c r="F283" s="14"/>
      <c r="G283" s="14"/>
      <c r="H283" s="14"/>
      <c r="I283" s="14"/>
      <c r="J283" s="14"/>
      <c r="K283" s="100"/>
      <c r="L283" s="102">
        <f t="shared" si="147"/>
        <v>1</v>
      </c>
      <c r="M283" s="102" t="str">
        <f t="shared" ref="M283" si="169">IF(C282&lt;=C283,"ok","wrong")</f>
        <v>ok</v>
      </c>
    </row>
    <row r="284" spans="1:13">
      <c r="A284" s="155"/>
      <c r="B284" s="155" t="s">
        <v>612</v>
      </c>
      <c r="C284" s="105">
        <f>SUMIF('CH&amp;YP Gweithgaredd'!$C$4:$C$99967,"Drama",'CH&amp;YP Gweithgaredd'!$T$4:$T$99967)</f>
        <v>0</v>
      </c>
      <c r="D284" s="102">
        <f t="shared" si="146"/>
        <v>1</v>
      </c>
      <c r="E284" s="14"/>
      <c r="F284" s="14"/>
      <c r="G284" s="14"/>
      <c r="H284" s="14"/>
      <c r="I284" s="14"/>
      <c r="J284" s="14"/>
      <c r="K284" s="100"/>
      <c r="L284" s="102">
        <f t="shared" si="147"/>
        <v>1</v>
      </c>
      <c r="M284" s="102" t="str">
        <f t="shared" ref="M284" si="170">IF(AND(C284&gt;=0.1,SUM(C285)&gt;=C284),"ok",IF(AND(C284=0,SUM(C285)=0),"ok",IF(AND(C284&gt;0.1,SUM(C285)=0),"wrong",IF(AND(C284=0,SUM(C285)&gt;0.1),"wrong"))))</f>
        <v>ok</v>
      </c>
    </row>
    <row r="285" spans="1:13">
      <c r="A285" s="155"/>
      <c r="B285" s="155" t="s">
        <v>613</v>
      </c>
      <c r="C285" s="105">
        <f>SUMIF('CH&amp;YP Gweithgaredd'!$C$4:$C$99967,"Drama",'CH&amp;YP Gweithgaredd'!$Y$4:$Y$99967)</f>
        <v>0</v>
      </c>
      <c r="D285" s="102">
        <f t="shared" si="146"/>
        <v>1</v>
      </c>
      <c r="E285" s="14"/>
      <c r="F285" s="14"/>
      <c r="G285" s="14"/>
      <c r="H285" s="14"/>
      <c r="I285" s="14"/>
      <c r="J285" s="14"/>
      <c r="K285" s="100"/>
      <c r="L285" s="102">
        <f t="shared" si="147"/>
        <v>1</v>
      </c>
      <c r="M285" s="102" t="str">
        <f t="shared" ref="M285" si="171">IF(C284&lt;=C285,"ok","wrong")</f>
        <v>ok</v>
      </c>
    </row>
    <row r="286" spans="1:13">
      <c r="A286" s="155"/>
      <c r="B286" s="155" t="s">
        <v>614</v>
      </c>
      <c r="C286" s="105">
        <f>SUMIF('CH&amp;YP Gweithgaredd'!$C$4:$C$99967,"Drama",'CH&amp;YP Gweithgaredd'!$U$4:$U$99967)</f>
        <v>0</v>
      </c>
      <c r="D286" s="102">
        <f t="shared" si="146"/>
        <v>1</v>
      </c>
      <c r="E286" s="14"/>
      <c r="F286" s="14"/>
      <c r="G286" s="14"/>
      <c r="H286" s="14"/>
      <c r="I286" s="14"/>
      <c r="J286" s="14"/>
      <c r="K286" s="100"/>
      <c r="L286" s="102">
        <f t="shared" si="147"/>
        <v>1</v>
      </c>
      <c r="M286" s="102" t="str">
        <f t="shared" ref="M286" si="172">IF(AND(C286&gt;=0.1,SUM(C287)&gt;=C286),"ok",IF(AND(C286=0,SUM(C287)=0),"ok",IF(AND(C286&gt;0.1,SUM(C287)=0),"wrong",IF(AND(C286=0,SUM(C287)&gt;0.1),"wrong"))))</f>
        <v>ok</v>
      </c>
    </row>
    <row r="287" spans="1:13">
      <c r="A287" s="155"/>
      <c r="B287" s="155" t="s">
        <v>615</v>
      </c>
      <c r="C287" s="105">
        <f>SUMIF('CH&amp;YP Gweithgaredd'!$C$4:$C$99967,"Drama",'CH&amp;YP Gweithgaredd'!$Z$4:$Z$99967)</f>
        <v>0</v>
      </c>
      <c r="D287" s="102">
        <f t="shared" si="146"/>
        <v>1</v>
      </c>
      <c r="E287" s="14"/>
      <c r="F287" s="14"/>
      <c r="G287" s="14"/>
      <c r="H287" s="14"/>
      <c r="I287" s="14"/>
      <c r="J287" s="14"/>
      <c r="K287" s="100"/>
      <c r="L287" s="102">
        <f t="shared" si="147"/>
        <v>1</v>
      </c>
      <c r="M287" s="102" t="str">
        <f t="shared" ref="M287" si="173">IF(C286&lt;=C287,"ok","wrong")</f>
        <v>ok</v>
      </c>
    </row>
    <row r="288" spans="1:13">
      <c r="A288" s="155"/>
      <c r="B288" s="155" t="s">
        <v>616</v>
      </c>
      <c r="C288" s="105">
        <f>SUMIF('CH&amp;YP Gweithgaredd'!$C$4:$C$99967,"Drama",'CH&amp;YP Gweithgaredd'!$V$4:$V$99967)</f>
        <v>0</v>
      </c>
      <c r="D288" s="102">
        <f t="shared" si="146"/>
        <v>1</v>
      </c>
      <c r="E288" s="14"/>
      <c r="F288" s="14"/>
      <c r="G288" s="14"/>
      <c r="H288" s="14"/>
      <c r="I288" s="14"/>
      <c r="J288" s="14"/>
      <c r="K288" s="100"/>
      <c r="L288" s="102">
        <f t="shared" si="147"/>
        <v>1</v>
      </c>
      <c r="M288" s="102" t="str">
        <f t="shared" ref="M288" si="174">IF(AND(C288&gt;=0.1,SUM(C289)&gt;=C288),"ok",IF(AND(C288=0,SUM(C289)=0),"ok",IF(AND(C288&gt;0.1,SUM(C289)=0),"wrong",IF(AND(C288=0,SUM(C289)&gt;0.1),"wrong"))))</f>
        <v>ok</v>
      </c>
    </row>
    <row r="289" spans="1:13">
      <c r="A289" s="155"/>
      <c r="B289" s="155" t="s">
        <v>617</v>
      </c>
      <c r="C289" s="105">
        <f>SUMIF('CH&amp;YP Gweithgaredd'!$C$4:$C$99967,"Drama",'CH&amp;YP Gweithgaredd'!$AA$4:$AA$99967)</f>
        <v>0</v>
      </c>
      <c r="D289" s="102">
        <f t="shared" si="146"/>
        <v>1</v>
      </c>
      <c r="E289" s="14"/>
      <c r="F289" s="14"/>
      <c r="G289" s="14"/>
      <c r="H289" s="14"/>
      <c r="I289" s="14"/>
      <c r="J289" s="14"/>
      <c r="K289" s="100"/>
      <c r="L289" s="102">
        <f t="shared" si="147"/>
        <v>1</v>
      </c>
      <c r="M289" s="102" t="str">
        <f t="shared" ref="M289" si="175">IF(C288&lt;=C289,"ok","wrong")</f>
        <v>ok</v>
      </c>
    </row>
    <row r="290" spans="1:13">
      <c r="A290" s="155"/>
      <c r="B290" s="155" t="s">
        <v>618</v>
      </c>
      <c r="C290" s="105">
        <f>SUMIF('CH&amp;YP Gweithgaredd'!$C$4:$C$99967,"Drama",'CH&amp;YP Gweithgaredd'!$W$4:$W$99967)</f>
        <v>0</v>
      </c>
      <c r="D290" s="102">
        <f t="shared" si="146"/>
        <v>1</v>
      </c>
      <c r="E290" s="14"/>
      <c r="F290" s="14"/>
      <c r="G290" s="14"/>
      <c r="H290" s="14"/>
      <c r="I290" s="14"/>
      <c r="J290" s="14"/>
      <c r="K290" s="100"/>
      <c r="L290" s="102">
        <f t="shared" si="147"/>
        <v>1</v>
      </c>
      <c r="M290" s="102" t="str">
        <f t="shared" ref="M290" si="176">IF(AND(C290&gt;=0.1,SUM(C291)&gt;=C290),"ok",IF(AND(C290=0,SUM(C291)=0),"ok",IF(AND(C290&gt;0.1,SUM(C291)=0),"wrong",IF(AND(C290=0,SUM(C291)&gt;0.1),"wrong"))))</f>
        <v>ok</v>
      </c>
    </row>
    <row r="291" spans="1:13">
      <c r="A291" s="155"/>
      <c r="B291" s="155" t="s">
        <v>619</v>
      </c>
      <c r="C291" s="105">
        <f>SUMIF('CH&amp;YP Gweithgaredd'!$C$4:$C$99967,"Drama",'CH&amp;YP Gweithgaredd'!$AB$4:$AB$99967)</f>
        <v>0</v>
      </c>
      <c r="D291" s="102">
        <f t="shared" si="146"/>
        <v>1</v>
      </c>
      <c r="E291" s="14"/>
      <c r="F291" s="14"/>
      <c r="G291" s="14"/>
      <c r="H291" s="14"/>
      <c r="I291" s="14"/>
      <c r="J291" s="14"/>
      <c r="K291" s="100"/>
      <c r="L291" s="102">
        <f t="shared" si="147"/>
        <v>1</v>
      </c>
      <c r="M291" s="102" t="str">
        <f t="shared" ref="M291" si="177">IF(C290&lt;=C291,"ok","wrong")</f>
        <v>ok</v>
      </c>
    </row>
    <row r="292" spans="1:13" ht="16">
      <c r="A292" s="106" t="s">
        <v>378</v>
      </c>
      <c r="B292" s="155" t="s">
        <v>610</v>
      </c>
      <c r="C292" s="105">
        <f>SUMIF('CH&amp;YP Gweithgaredd'!$C$4:$C$99967,"Cerddoriaeth",'CH&amp;YP Gweithgaredd'!$S$4:$S$99967)</f>
        <v>0</v>
      </c>
      <c r="D292" s="102">
        <f t="shared" si="146"/>
        <v>1</v>
      </c>
      <c r="E292" s="14"/>
      <c r="F292" s="14"/>
      <c r="G292" s="14"/>
      <c r="H292" s="14"/>
      <c r="I292" s="14"/>
      <c r="J292" s="14"/>
      <c r="K292" s="100"/>
      <c r="L292" s="102">
        <f t="shared" si="147"/>
        <v>1</v>
      </c>
      <c r="M292" s="102" t="str">
        <f t="shared" ref="M292" si="178">IF(AND(C292&gt;=0.1,SUM(C293)&gt;=C292),"ok",IF(AND(C292=0,SUM(C293)=0),"ok",IF(AND(C292&gt;0.1,SUM(C293)=0),"wrong",IF(AND(C292=0,SUM(C293)&gt;0.1),"wrong"))))</f>
        <v>ok</v>
      </c>
    </row>
    <row r="293" spans="1:13">
      <c r="A293" s="155"/>
      <c r="B293" s="155" t="s">
        <v>611</v>
      </c>
      <c r="C293" s="105">
        <f>SUMIF('CH&amp;YP Gweithgaredd'!$C$4:$C$99967,"Cerddoriaeth",'CH&amp;YP Gweithgaredd'!$X$4:$X$99967)</f>
        <v>0</v>
      </c>
      <c r="D293" s="102">
        <f t="shared" si="146"/>
        <v>1</v>
      </c>
      <c r="E293" s="14"/>
      <c r="F293" s="14"/>
      <c r="G293" s="14"/>
      <c r="H293" s="14"/>
      <c r="I293" s="14"/>
      <c r="J293" s="14"/>
      <c r="K293" s="100"/>
      <c r="L293" s="102">
        <f t="shared" si="147"/>
        <v>1</v>
      </c>
      <c r="M293" s="102" t="str">
        <f t="shared" ref="M293" si="179">IF(C292&lt;=C293,"ok","wrong")</f>
        <v>ok</v>
      </c>
    </row>
    <row r="294" spans="1:13">
      <c r="A294" s="155"/>
      <c r="B294" s="155" t="s">
        <v>612</v>
      </c>
      <c r="C294" s="105">
        <f>SUMIF('CH&amp;YP Gweithgaredd'!$C$4:$C$99967,"Cerddoriaeth",'CH&amp;YP Gweithgaredd'!$T$4:$T$99967)</f>
        <v>0</v>
      </c>
      <c r="D294" s="102">
        <f t="shared" si="146"/>
        <v>1</v>
      </c>
      <c r="E294" s="14"/>
      <c r="F294" s="14"/>
      <c r="G294" s="14"/>
      <c r="H294" s="14"/>
      <c r="I294" s="14"/>
      <c r="J294" s="14"/>
      <c r="K294" s="100"/>
      <c r="L294" s="102">
        <f t="shared" si="147"/>
        <v>1</v>
      </c>
      <c r="M294" s="102" t="str">
        <f t="shared" ref="M294" si="180">IF(AND(C294&gt;=0.1,SUM(C295)&gt;=C294),"ok",IF(AND(C294=0,SUM(C295)=0),"ok",IF(AND(C294&gt;0.1,SUM(C295)=0),"wrong",IF(AND(C294=0,SUM(C295)&gt;0.1),"wrong"))))</f>
        <v>ok</v>
      </c>
    </row>
    <row r="295" spans="1:13">
      <c r="A295" s="155"/>
      <c r="B295" s="155" t="s">
        <v>613</v>
      </c>
      <c r="C295" s="105">
        <f>SUMIF('CH&amp;YP Gweithgaredd'!$C$4:$C$99967,"Cerddoriaeth",'CH&amp;YP Gweithgaredd'!$Y$4:$Y$99967)</f>
        <v>0</v>
      </c>
      <c r="D295" s="102">
        <f t="shared" si="146"/>
        <v>1</v>
      </c>
      <c r="E295" s="14"/>
      <c r="F295" s="14"/>
      <c r="G295" s="14"/>
      <c r="H295" s="14"/>
      <c r="I295" s="14"/>
      <c r="J295" s="14"/>
      <c r="K295" s="100"/>
      <c r="L295" s="102">
        <f t="shared" si="147"/>
        <v>1</v>
      </c>
      <c r="M295" s="102" t="str">
        <f t="shared" ref="M295" si="181">IF(C294&lt;=C295,"ok","wrong")</f>
        <v>ok</v>
      </c>
    </row>
    <row r="296" spans="1:13">
      <c r="A296" s="155"/>
      <c r="B296" s="155" t="s">
        <v>614</v>
      </c>
      <c r="C296" s="105">
        <f>SUMIF('CH&amp;YP Gweithgaredd'!$C$4:$C$99967,"Cerddoriaeth",'CH&amp;YP Gweithgaredd'!$U$4:$U$99967)</f>
        <v>0</v>
      </c>
      <c r="D296" s="102">
        <f t="shared" si="146"/>
        <v>1</v>
      </c>
      <c r="E296" s="14"/>
      <c r="F296" s="14"/>
      <c r="G296" s="14"/>
      <c r="H296" s="14"/>
      <c r="I296" s="14"/>
      <c r="J296" s="14"/>
      <c r="K296" s="100"/>
      <c r="L296" s="102">
        <f t="shared" si="147"/>
        <v>1</v>
      </c>
      <c r="M296" s="102" t="str">
        <f t="shared" ref="M296" si="182">IF(AND(C296&gt;=0.1,SUM(C297)&gt;=C296),"ok",IF(AND(C296=0,SUM(C297)=0),"ok",IF(AND(C296&gt;0.1,SUM(C297)=0),"wrong",IF(AND(C296=0,SUM(C297)&gt;0.1),"wrong"))))</f>
        <v>ok</v>
      </c>
    </row>
    <row r="297" spans="1:13">
      <c r="A297" s="155"/>
      <c r="B297" s="155" t="s">
        <v>615</v>
      </c>
      <c r="C297" s="105">
        <f>SUMIF('CH&amp;YP Gweithgaredd'!$C$4:$C$99967,"Cerddoriaeth",'CH&amp;YP Gweithgaredd'!$Z$4:$Z$99967)</f>
        <v>0</v>
      </c>
      <c r="D297" s="102">
        <f t="shared" si="146"/>
        <v>1</v>
      </c>
      <c r="E297" s="14"/>
      <c r="F297" s="14"/>
      <c r="G297" s="14"/>
      <c r="H297" s="14"/>
      <c r="I297" s="14"/>
      <c r="J297" s="14"/>
      <c r="K297" s="100"/>
      <c r="L297" s="102">
        <f t="shared" si="147"/>
        <v>1</v>
      </c>
      <c r="M297" s="102" t="str">
        <f t="shared" ref="M297" si="183">IF(C296&lt;=C297,"ok","wrong")</f>
        <v>ok</v>
      </c>
    </row>
    <row r="298" spans="1:13">
      <c r="A298" s="155"/>
      <c r="B298" s="155" t="s">
        <v>616</v>
      </c>
      <c r="C298" s="105">
        <f>SUMIF('CH&amp;YP Gweithgaredd'!$C$4:$C$99967,"Cerddoriaeth",'CH&amp;YP Gweithgaredd'!$V$4:$V$99967)</f>
        <v>0</v>
      </c>
      <c r="D298" s="102">
        <f t="shared" si="146"/>
        <v>1</v>
      </c>
      <c r="E298" s="14"/>
      <c r="F298" s="14"/>
      <c r="G298" s="14"/>
      <c r="H298" s="14"/>
      <c r="I298" s="14"/>
      <c r="J298" s="14"/>
      <c r="K298" s="100"/>
      <c r="L298" s="102">
        <f t="shared" si="147"/>
        <v>1</v>
      </c>
      <c r="M298" s="102" t="str">
        <f t="shared" ref="M298" si="184">IF(AND(C298&gt;=0.1,SUM(C299)&gt;=C298),"ok",IF(AND(C298=0,SUM(C299)=0),"ok",IF(AND(C298&gt;0.1,SUM(C299)=0),"wrong",IF(AND(C298=0,SUM(C299)&gt;0.1),"wrong"))))</f>
        <v>ok</v>
      </c>
    </row>
    <row r="299" spans="1:13">
      <c r="A299" s="155"/>
      <c r="B299" s="155" t="s">
        <v>617</v>
      </c>
      <c r="C299" s="105">
        <f>SUMIF('CH&amp;YP Gweithgaredd'!$C$4:$C$99967,"Cerddoriaeth",'CH&amp;YP Gweithgaredd'!$AA$4:$AA$99967)</f>
        <v>0</v>
      </c>
      <c r="D299" s="102">
        <f t="shared" si="146"/>
        <v>1</v>
      </c>
      <c r="E299" s="14"/>
      <c r="F299" s="14"/>
      <c r="G299" s="14"/>
      <c r="H299" s="14"/>
      <c r="I299" s="14"/>
      <c r="J299" s="14"/>
      <c r="K299" s="100"/>
      <c r="L299" s="102">
        <f t="shared" si="147"/>
        <v>1</v>
      </c>
      <c r="M299" s="102" t="str">
        <f t="shared" ref="M299" si="185">IF(C298&lt;=C299,"ok","wrong")</f>
        <v>ok</v>
      </c>
    </row>
    <row r="300" spans="1:13">
      <c r="A300" s="155"/>
      <c r="B300" s="155" t="s">
        <v>618</v>
      </c>
      <c r="C300" s="105">
        <f>SUMIF('CH&amp;YP Gweithgaredd'!$C$4:$C$99967,"Cerddoriaeth",'CH&amp;YP Gweithgaredd'!$W$4:$W$99967)</f>
        <v>0</v>
      </c>
      <c r="D300" s="102">
        <f t="shared" si="146"/>
        <v>1</v>
      </c>
      <c r="E300" s="14"/>
      <c r="F300" s="14"/>
      <c r="G300" s="14"/>
      <c r="H300" s="14"/>
      <c r="I300" s="14"/>
      <c r="J300" s="14"/>
      <c r="K300" s="100"/>
      <c r="L300" s="102">
        <f t="shared" si="147"/>
        <v>1</v>
      </c>
      <c r="M300" s="102" t="str">
        <f t="shared" ref="M300" si="186">IF(AND(C300&gt;=0.1,SUM(C301)&gt;=C300),"ok",IF(AND(C300=0,SUM(C301)=0),"ok",IF(AND(C300&gt;0.1,SUM(C301)=0),"wrong",IF(AND(C300=0,SUM(C301)&gt;0.1),"wrong"))))</f>
        <v>ok</v>
      </c>
    </row>
    <row r="301" spans="1:13">
      <c r="A301" s="155"/>
      <c r="B301" s="155" t="s">
        <v>619</v>
      </c>
      <c r="C301" s="105">
        <f>SUMIF('CH&amp;YP Gweithgaredd'!$C$4:$C$99967,"Cerddoriaeth",'CH&amp;YP Gweithgaredd'!$AB$4:$AB$99967)</f>
        <v>0</v>
      </c>
      <c r="D301" s="102">
        <f t="shared" si="146"/>
        <v>1</v>
      </c>
      <c r="E301" s="14"/>
      <c r="F301" s="14"/>
      <c r="G301" s="14"/>
      <c r="H301" s="14"/>
      <c r="I301" s="14"/>
      <c r="J301" s="14"/>
      <c r="K301" s="100"/>
      <c r="L301" s="102">
        <f t="shared" si="147"/>
        <v>1</v>
      </c>
      <c r="M301" s="102" t="str">
        <f t="shared" ref="M301" si="187">IF(C300&lt;=C301,"ok","wrong")</f>
        <v>ok</v>
      </c>
    </row>
    <row r="302" spans="1:13" ht="16">
      <c r="A302" s="106" t="s">
        <v>379</v>
      </c>
      <c r="B302" s="155" t="s">
        <v>610</v>
      </c>
      <c r="C302" s="105">
        <f>SUMIF('CH&amp;YP Gweithgaredd'!$C$4:$C$99967,"Opera",'CH&amp;YP Gweithgaredd'!$S$4:$S$99967)</f>
        <v>0</v>
      </c>
      <c r="D302" s="102">
        <f t="shared" si="146"/>
        <v>1</v>
      </c>
      <c r="E302" s="14"/>
      <c r="F302" s="14"/>
      <c r="G302" s="14"/>
      <c r="H302" s="14"/>
      <c r="I302" s="14"/>
      <c r="J302" s="14"/>
      <c r="K302" s="100"/>
      <c r="L302" s="102">
        <f t="shared" si="147"/>
        <v>1</v>
      </c>
      <c r="M302" s="102" t="str">
        <f t="shared" ref="M302" si="188">IF(AND(C302&gt;=0.1,SUM(C303)&gt;=C302),"ok",IF(AND(C302=0,SUM(C303)=0),"ok",IF(AND(C302&gt;0.1,SUM(C303)=0),"wrong",IF(AND(C302=0,SUM(C303)&gt;0.1),"wrong"))))</f>
        <v>ok</v>
      </c>
    </row>
    <row r="303" spans="1:13">
      <c r="A303" s="155"/>
      <c r="B303" s="155" t="s">
        <v>611</v>
      </c>
      <c r="C303" s="105">
        <f>SUMIF('CH&amp;YP Gweithgaredd'!$C$4:$C$99967,"Opera",'CH&amp;YP Gweithgaredd'!$X$4:$X$99967)</f>
        <v>0</v>
      </c>
      <c r="D303" s="102">
        <f t="shared" si="146"/>
        <v>1</v>
      </c>
      <c r="E303" s="14"/>
      <c r="F303" s="14"/>
      <c r="G303" s="14"/>
      <c r="H303" s="14"/>
      <c r="I303" s="14"/>
      <c r="J303" s="14"/>
      <c r="K303" s="100"/>
      <c r="L303" s="102">
        <f t="shared" si="147"/>
        <v>1</v>
      </c>
      <c r="M303" s="102" t="str">
        <f t="shared" ref="M303" si="189">IF(C302&lt;=C303,"ok","wrong")</f>
        <v>ok</v>
      </c>
    </row>
    <row r="304" spans="1:13">
      <c r="A304" s="155"/>
      <c r="B304" s="155" t="s">
        <v>612</v>
      </c>
      <c r="C304" s="105">
        <f>SUMIF('CH&amp;YP Gweithgaredd'!$C$4:$C$99967,"Opera",'CH&amp;YP Gweithgaredd'!$T$4:$T$99967)</f>
        <v>0</v>
      </c>
      <c r="D304" s="102">
        <f t="shared" si="146"/>
        <v>1</v>
      </c>
      <c r="E304" s="14"/>
      <c r="F304" s="14"/>
      <c r="G304" s="14"/>
      <c r="H304" s="14"/>
      <c r="I304" s="14"/>
      <c r="J304" s="14"/>
      <c r="K304" s="100"/>
      <c r="L304" s="102">
        <f t="shared" si="147"/>
        <v>1</v>
      </c>
      <c r="M304" s="102" t="str">
        <f t="shared" ref="M304" si="190">IF(AND(C304&gt;=0.1,SUM(C305)&gt;=C304),"ok",IF(AND(C304=0,SUM(C305)=0),"ok",IF(AND(C304&gt;0.1,SUM(C305)=0),"wrong",IF(AND(C304=0,SUM(C305)&gt;0.1),"wrong"))))</f>
        <v>ok</v>
      </c>
    </row>
    <row r="305" spans="1:13">
      <c r="A305" s="155"/>
      <c r="B305" s="155" t="s">
        <v>613</v>
      </c>
      <c r="C305" s="105">
        <f>SUMIF('CH&amp;YP Gweithgaredd'!$C$4:$C$99967,"Opera",'CH&amp;YP Gweithgaredd'!$Y$4:$Y$99967)</f>
        <v>0</v>
      </c>
      <c r="D305" s="102">
        <f t="shared" si="146"/>
        <v>1</v>
      </c>
      <c r="E305" s="14"/>
      <c r="F305" s="14"/>
      <c r="G305" s="14"/>
      <c r="H305" s="14"/>
      <c r="I305" s="14"/>
      <c r="J305" s="14"/>
      <c r="K305" s="100"/>
      <c r="L305" s="102">
        <f t="shared" si="147"/>
        <v>1</v>
      </c>
      <c r="M305" s="102" t="str">
        <f t="shared" ref="M305" si="191">IF(C304&lt;=C305,"ok","wrong")</f>
        <v>ok</v>
      </c>
    </row>
    <row r="306" spans="1:13">
      <c r="A306" s="155"/>
      <c r="B306" s="155" t="s">
        <v>614</v>
      </c>
      <c r="C306" s="105">
        <f>SUMIF('CH&amp;YP Gweithgaredd'!$C$4:$C$99967,"Opera",'CH&amp;YP Gweithgaredd'!$U$4:$U$99967)</f>
        <v>0</v>
      </c>
      <c r="D306" s="102">
        <f t="shared" si="146"/>
        <v>1</v>
      </c>
      <c r="E306" s="14"/>
      <c r="F306" s="14"/>
      <c r="G306" s="14"/>
      <c r="H306" s="14"/>
      <c r="I306" s="14"/>
      <c r="J306" s="14"/>
      <c r="K306" s="100"/>
      <c r="L306" s="102">
        <f t="shared" si="147"/>
        <v>1</v>
      </c>
      <c r="M306" s="102" t="str">
        <f t="shared" ref="M306" si="192">IF(AND(C306&gt;=0.1,SUM(C307)&gt;=C306),"ok",IF(AND(C306=0,SUM(C307)=0),"ok",IF(AND(C306&gt;0.1,SUM(C307)=0),"wrong",IF(AND(C306=0,SUM(C307)&gt;0.1),"wrong"))))</f>
        <v>ok</v>
      </c>
    </row>
    <row r="307" spans="1:13">
      <c r="A307" s="155"/>
      <c r="B307" s="155" t="s">
        <v>615</v>
      </c>
      <c r="C307" s="105">
        <f>SUMIF('CH&amp;YP Gweithgaredd'!$C$4:$C$99967,"Opera",'CH&amp;YP Gweithgaredd'!$Z$4:$Z$99967)</f>
        <v>0</v>
      </c>
      <c r="D307" s="102">
        <f t="shared" si="146"/>
        <v>1</v>
      </c>
      <c r="E307" s="14"/>
      <c r="F307" s="14"/>
      <c r="G307" s="14"/>
      <c r="H307" s="14"/>
      <c r="I307" s="14"/>
      <c r="J307" s="14"/>
      <c r="K307" s="100"/>
      <c r="L307" s="102">
        <f t="shared" si="147"/>
        <v>1</v>
      </c>
      <c r="M307" s="102" t="str">
        <f t="shared" ref="M307" si="193">IF(C306&lt;=C307,"ok","wrong")</f>
        <v>ok</v>
      </c>
    </row>
    <row r="308" spans="1:13">
      <c r="A308" s="155"/>
      <c r="B308" s="155" t="s">
        <v>616</v>
      </c>
      <c r="C308" s="105">
        <f>SUMIF('CH&amp;YP Gweithgaredd'!$C$4:$C$99967,"Opera",'CH&amp;YP Gweithgaredd'!$V$4:$V$99967)</f>
        <v>0</v>
      </c>
      <c r="D308" s="102">
        <f t="shared" si="146"/>
        <v>1</v>
      </c>
      <c r="E308" s="14"/>
      <c r="F308" s="14"/>
      <c r="G308" s="14"/>
      <c r="H308" s="14"/>
      <c r="I308" s="14"/>
      <c r="J308" s="14"/>
      <c r="K308" s="100"/>
      <c r="L308" s="102">
        <f t="shared" si="147"/>
        <v>1</v>
      </c>
      <c r="M308" s="102" t="str">
        <f t="shared" ref="M308" si="194">IF(AND(C308&gt;=0.1,SUM(C309)&gt;=C308),"ok",IF(AND(C308=0,SUM(C309)=0),"ok",IF(AND(C308&gt;0.1,SUM(C309)=0),"wrong",IF(AND(C308=0,SUM(C309)&gt;0.1),"wrong"))))</f>
        <v>ok</v>
      </c>
    </row>
    <row r="309" spans="1:13">
      <c r="A309" s="155"/>
      <c r="B309" s="155" t="s">
        <v>617</v>
      </c>
      <c r="C309" s="105">
        <f>SUMIF('CH&amp;YP Gweithgaredd'!$C$4:$C$99967,"Opera",'CH&amp;YP Gweithgaredd'!$AA$4:$AA$99967)</f>
        <v>0</v>
      </c>
      <c r="D309" s="102">
        <f t="shared" si="146"/>
        <v>1</v>
      </c>
      <c r="E309" s="14"/>
      <c r="F309" s="14"/>
      <c r="G309" s="14"/>
      <c r="H309" s="14"/>
      <c r="I309" s="14"/>
      <c r="J309" s="14"/>
      <c r="K309" s="100"/>
      <c r="L309" s="102">
        <f t="shared" si="147"/>
        <v>1</v>
      </c>
      <c r="M309" s="102" t="str">
        <f t="shared" ref="M309" si="195">IF(C308&lt;=C309,"ok","wrong")</f>
        <v>ok</v>
      </c>
    </row>
    <row r="310" spans="1:13">
      <c r="A310" s="155"/>
      <c r="B310" s="155" t="s">
        <v>618</v>
      </c>
      <c r="C310" s="105">
        <f>SUMIF('CH&amp;YP Gweithgaredd'!$C$4:$C$99967,"Opera",'CH&amp;YP Gweithgaredd'!$W$4:$W$99967)</f>
        <v>0</v>
      </c>
      <c r="D310" s="102">
        <f t="shared" si="146"/>
        <v>1</v>
      </c>
      <c r="E310" s="14"/>
      <c r="F310" s="14"/>
      <c r="G310" s="14"/>
      <c r="H310" s="14"/>
      <c r="I310" s="14"/>
      <c r="J310" s="14"/>
      <c r="K310" s="100"/>
      <c r="L310" s="102">
        <f t="shared" si="147"/>
        <v>1</v>
      </c>
      <c r="M310" s="102" t="str">
        <f t="shared" ref="M310" si="196">IF(AND(C310&gt;=0.1,SUM(C311)&gt;=C310),"ok",IF(AND(C310=0,SUM(C311)=0),"ok",IF(AND(C310&gt;0.1,SUM(C311)=0),"wrong",IF(AND(C310=0,SUM(C311)&gt;0.1),"wrong"))))</f>
        <v>ok</v>
      </c>
    </row>
    <row r="311" spans="1:13">
      <c r="A311" s="155"/>
      <c r="B311" s="155" t="s">
        <v>619</v>
      </c>
      <c r="C311" s="105">
        <f>SUMIF('CH&amp;YP Gweithgaredd'!$C$4:$C$99967,"Opera",'CH&amp;YP Gweithgaredd'!$AB$4:$AB$99967)</f>
        <v>0</v>
      </c>
      <c r="D311" s="102">
        <f t="shared" si="146"/>
        <v>1</v>
      </c>
      <c r="E311" s="14"/>
      <c r="F311" s="14"/>
      <c r="G311" s="14"/>
      <c r="H311" s="14"/>
      <c r="I311" s="14"/>
      <c r="J311" s="14"/>
      <c r="K311" s="100"/>
      <c r="L311" s="102">
        <f t="shared" si="147"/>
        <v>1</v>
      </c>
      <c r="M311" s="102" t="str">
        <f t="shared" ref="M311" si="197">IF(C310&lt;=C311,"ok","wrong")</f>
        <v>ok</v>
      </c>
    </row>
    <row r="312" spans="1:13" ht="16">
      <c r="A312" s="106" t="s">
        <v>381</v>
      </c>
      <c r="B312" s="155" t="s">
        <v>610</v>
      </c>
      <c r="C312" s="105">
        <f>SUMIF('CH&amp;YP Gweithgaredd'!$C$4:$C$99967,"Adloniant Theatr",'CH&amp;YP Gweithgaredd'!$S$4:$S$99967)</f>
        <v>0</v>
      </c>
      <c r="D312" s="102">
        <f t="shared" si="146"/>
        <v>1</v>
      </c>
      <c r="E312" s="14"/>
      <c r="F312" s="14"/>
      <c r="G312" s="14"/>
      <c r="H312" s="14"/>
      <c r="I312" s="14"/>
      <c r="J312" s="14"/>
      <c r="K312" s="100"/>
      <c r="L312" s="102">
        <f t="shared" si="147"/>
        <v>1</v>
      </c>
      <c r="M312" s="102" t="str">
        <f t="shared" ref="M312" si="198">IF(AND(C312&gt;=0.1,SUM(C313)&gt;=C312),"ok",IF(AND(C312=0,SUM(C313)=0),"ok",IF(AND(C312&gt;0.1,SUM(C313)=0),"wrong",IF(AND(C312=0,SUM(C313)&gt;0.1),"wrong"))))</f>
        <v>ok</v>
      </c>
    </row>
    <row r="313" spans="1:13">
      <c r="A313" s="155"/>
      <c r="B313" s="155" t="s">
        <v>611</v>
      </c>
      <c r="C313" s="105">
        <f>SUMIF('CH&amp;YP Gweithgaredd'!$C$4:$C$99967,"Adloniant Theatr",'CH&amp;YP Gweithgaredd'!$X$4:$X$99967)</f>
        <v>0</v>
      </c>
      <c r="D313" s="102">
        <f t="shared" si="146"/>
        <v>1</v>
      </c>
      <c r="E313" s="14"/>
      <c r="F313" s="14"/>
      <c r="G313" s="14"/>
      <c r="H313" s="14"/>
      <c r="I313" s="14"/>
      <c r="J313" s="14"/>
      <c r="K313" s="100"/>
      <c r="L313" s="102">
        <f t="shared" si="147"/>
        <v>1</v>
      </c>
      <c r="M313" s="102" t="str">
        <f t="shared" ref="M313" si="199">IF(C312&lt;=C313,"ok","wrong")</f>
        <v>ok</v>
      </c>
    </row>
    <row r="314" spans="1:13">
      <c r="A314" s="155"/>
      <c r="B314" s="155" t="s">
        <v>612</v>
      </c>
      <c r="C314" s="105">
        <f>SUMIF('CH&amp;YP Gweithgaredd'!$C$4:$C$99967,"Adloniant Theatr",'CH&amp;YP Gweithgaredd'!$T$4:$T$99967)</f>
        <v>0</v>
      </c>
      <c r="D314" s="102">
        <f t="shared" si="146"/>
        <v>1</v>
      </c>
      <c r="E314" s="14"/>
      <c r="F314" s="14"/>
      <c r="G314" s="14"/>
      <c r="H314" s="14"/>
      <c r="I314" s="14"/>
      <c r="J314" s="14"/>
      <c r="K314" s="100"/>
      <c r="L314" s="102">
        <f t="shared" si="147"/>
        <v>1</v>
      </c>
      <c r="M314" s="102" t="str">
        <f t="shared" ref="M314" si="200">IF(AND(C314&gt;=0.1,SUM(C315)&gt;=C314),"ok",IF(AND(C314=0,SUM(C315)=0),"ok",IF(AND(C314&gt;0.1,SUM(C315)=0),"wrong",IF(AND(C314=0,SUM(C315)&gt;0.1),"wrong"))))</f>
        <v>ok</v>
      </c>
    </row>
    <row r="315" spans="1:13">
      <c r="A315" s="155"/>
      <c r="B315" s="155" t="s">
        <v>613</v>
      </c>
      <c r="C315" s="105">
        <f>SUMIF('CH&amp;YP Gweithgaredd'!$C$4:$C$99967,"Adloniant Theatr",'CH&amp;YP Gweithgaredd'!$Y$4:$Y$99967)</f>
        <v>0</v>
      </c>
      <c r="D315" s="102">
        <f t="shared" si="146"/>
        <v>1</v>
      </c>
      <c r="E315" s="14"/>
      <c r="F315" s="14"/>
      <c r="G315" s="14"/>
      <c r="H315" s="14"/>
      <c r="I315" s="14"/>
      <c r="J315" s="14"/>
      <c r="K315" s="100"/>
      <c r="L315" s="102">
        <f t="shared" si="147"/>
        <v>1</v>
      </c>
      <c r="M315" s="102" t="str">
        <f t="shared" ref="M315" si="201">IF(C314&lt;=C315,"ok","wrong")</f>
        <v>ok</v>
      </c>
    </row>
    <row r="316" spans="1:13">
      <c r="A316" s="155"/>
      <c r="B316" s="155" t="s">
        <v>614</v>
      </c>
      <c r="C316" s="105">
        <f>SUMIF('CH&amp;YP Gweithgaredd'!$C$4:$C$99967,"Adloniant Theatr",'CH&amp;YP Gweithgaredd'!$U$4:$U$99967)</f>
        <v>0</v>
      </c>
      <c r="D316" s="102">
        <f t="shared" si="146"/>
        <v>1</v>
      </c>
      <c r="E316" s="14"/>
      <c r="F316" s="14"/>
      <c r="G316" s="14"/>
      <c r="H316" s="14"/>
      <c r="I316" s="14"/>
      <c r="J316" s="14"/>
      <c r="K316" s="100"/>
      <c r="L316" s="102">
        <f t="shared" si="147"/>
        <v>1</v>
      </c>
      <c r="M316" s="102" t="str">
        <f t="shared" ref="M316" si="202">IF(AND(C316&gt;=0.1,SUM(C317)&gt;=C316),"ok",IF(AND(C316=0,SUM(C317)=0),"ok",IF(AND(C316&gt;0.1,SUM(C317)=0),"wrong",IF(AND(C316=0,SUM(C317)&gt;0.1),"wrong"))))</f>
        <v>ok</v>
      </c>
    </row>
    <row r="317" spans="1:13">
      <c r="A317" s="155"/>
      <c r="B317" s="155" t="s">
        <v>615</v>
      </c>
      <c r="C317" s="105">
        <f>SUMIF('CH&amp;YP Gweithgaredd'!$C$4:$C$99967,"Adloniant Theatr",'CH&amp;YP Gweithgaredd'!$Z$4:$Z$99967)</f>
        <v>0</v>
      </c>
      <c r="D317" s="102">
        <f t="shared" si="146"/>
        <v>1</v>
      </c>
      <c r="E317" s="14"/>
      <c r="F317" s="14"/>
      <c r="G317" s="14"/>
      <c r="H317" s="14"/>
      <c r="I317" s="14"/>
      <c r="J317" s="14"/>
      <c r="K317" s="100"/>
      <c r="L317" s="102">
        <f t="shared" si="147"/>
        <v>1</v>
      </c>
      <c r="M317" s="102" t="str">
        <f t="shared" ref="M317" si="203">IF(C316&lt;=C317,"ok","wrong")</f>
        <v>ok</v>
      </c>
    </row>
    <row r="318" spans="1:13">
      <c r="A318" s="155"/>
      <c r="B318" s="155" t="s">
        <v>616</v>
      </c>
      <c r="C318" s="105">
        <f>SUMIF('CH&amp;YP Gweithgaredd'!$C$4:$C$99967,"Adloniant Theatr",'CH&amp;YP Gweithgaredd'!$V$4:$V$99967)</f>
        <v>0</v>
      </c>
      <c r="D318" s="102">
        <f t="shared" si="146"/>
        <v>1</v>
      </c>
      <c r="E318" s="14"/>
      <c r="F318" s="14"/>
      <c r="G318" s="14"/>
      <c r="H318" s="14"/>
      <c r="I318" s="14"/>
      <c r="J318" s="14"/>
      <c r="K318" s="100"/>
      <c r="L318" s="102">
        <f t="shared" si="147"/>
        <v>1</v>
      </c>
      <c r="M318" s="102" t="str">
        <f t="shared" ref="M318" si="204">IF(AND(C318&gt;=0.1,SUM(C319)&gt;=C318),"ok",IF(AND(C318=0,SUM(C319)=0),"ok",IF(AND(C318&gt;0.1,SUM(C319)=0),"wrong",IF(AND(C318=0,SUM(C319)&gt;0.1),"wrong"))))</f>
        <v>ok</v>
      </c>
    </row>
    <row r="319" spans="1:13">
      <c r="A319" s="155"/>
      <c r="B319" s="155" t="s">
        <v>617</v>
      </c>
      <c r="C319" s="105">
        <f>SUMIF('CH&amp;YP Gweithgaredd'!$C$4:$C$99967,"Adloniant Theatr",'CH&amp;YP Gweithgaredd'!$AA$4:$AA$99967)</f>
        <v>0</v>
      </c>
      <c r="D319" s="102">
        <f t="shared" si="146"/>
        <v>1</v>
      </c>
      <c r="E319" s="14"/>
      <c r="F319" s="14"/>
      <c r="G319" s="14"/>
      <c r="H319" s="14"/>
      <c r="I319" s="14"/>
      <c r="J319" s="14"/>
      <c r="K319" s="100"/>
      <c r="L319" s="102">
        <f t="shared" si="147"/>
        <v>1</v>
      </c>
      <c r="M319" s="102" t="str">
        <f t="shared" ref="M319" si="205">IF(C318&lt;=C319,"ok","wrong")</f>
        <v>ok</v>
      </c>
    </row>
    <row r="320" spans="1:13">
      <c r="A320" s="155"/>
      <c r="B320" s="155" t="s">
        <v>618</v>
      </c>
      <c r="C320" s="105">
        <f>SUMIF('CH&amp;YP Gweithgaredd'!$C$4:$C$99967,"Adloniant Theatr",'CH&amp;YP Gweithgaredd'!$W$4:$W$99967)</f>
        <v>0</v>
      </c>
      <c r="D320" s="102">
        <f t="shared" si="146"/>
        <v>1</v>
      </c>
      <c r="E320" s="14"/>
      <c r="F320" s="14"/>
      <c r="G320" s="14"/>
      <c r="H320" s="14"/>
      <c r="I320" s="14"/>
      <c r="J320" s="14"/>
      <c r="K320" s="100"/>
      <c r="L320" s="102">
        <f t="shared" si="147"/>
        <v>1</v>
      </c>
      <c r="M320" s="102" t="str">
        <f t="shared" ref="M320" si="206">IF(AND(C320&gt;=0.1,SUM(C321)&gt;=C320),"ok",IF(AND(C320=0,SUM(C321)=0),"ok",IF(AND(C320&gt;0.1,SUM(C321)=0),"wrong",IF(AND(C320=0,SUM(C321)&gt;0.1),"wrong"))))</f>
        <v>ok</v>
      </c>
    </row>
    <row r="321" spans="1:13">
      <c r="A321" s="155"/>
      <c r="B321" s="155" t="s">
        <v>619</v>
      </c>
      <c r="C321" s="105">
        <f>SUMIF('CH&amp;YP Gweithgaredd'!$C$4:$C$99967,"Adloniant Theatr",'CH&amp;YP Gweithgaredd'!$AB$4:$AB$99967)</f>
        <v>0</v>
      </c>
      <c r="D321" s="102">
        <f t="shared" si="146"/>
        <v>1</v>
      </c>
      <c r="E321" s="14"/>
      <c r="F321" s="14"/>
      <c r="G321" s="14"/>
      <c r="H321" s="14"/>
      <c r="I321" s="14"/>
      <c r="J321" s="14"/>
      <c r="K321" s="100"/>
      <c r="L321" s="102">
        <f t="shared" si="147"/>
        <v>1</v>
      </c>
      <c r="M321" s="102" t="str">
        <f t="shared" ref="M321" si="207">IF(C320&lt;=C321,"ok","wrong")</f>
        <v>ok</v>
      </c>
    </row>
    <row r="322" spans="1:13" ht="16">
      <c r="A322" s="106" t="s">
        <v>293</v>
      </c>
      <c r="B322" s="155" t="s">
        <v>610</v>
      </c>
      <c r="C322" s="105">
        <f>SUMIF('CH&amp;YP Gweithgaredd'!$C$4:$C$99967,"Celfyddydau Gweledol",'CH&amp;YP Gweithgaredd'!$S$4:$S$99967)</f>
        <v>0</v>
      </c>
      <c r="D322" s="102">
        <f t="shared" si="146"/>
        <v>1</v>
      </c>
      <c r="E322" s="14"/>
      <c r="F322" s="14"/>
      <c r="G322" s="14"/>
      <c r="H322" s="14"/>
      <c r="I322" s="14"/>
      <c r="J322" s="14"/>
      <c r="K322" s="100"/>
      <c r="L322" s="102">
        <f t="shared" si="147"/>
        <v>1</v>
      </c>
      <c r="M322" s="102" t="str">
        <f t="shared" ref="M322" si="208">IF(AND(C322&gt;=0.1,SUM(C323)&gt;=C322),"ok",IF(AND(C322=0,SUM(C323)=0),"ok",IF(AND(C322&gt;0.1,SUM(C323)=0),"wrong",IF(AND(C322=0,SUM(C323)&gt;0.1),"wrong"))))</f>
        <v>ok</v>
      </c>
    </row>
    <row r="323" spans="1:13">
      <c r="A323" s="155"/>
      <c r="B323" s="155" t="s">
        <v>611</v>
      </c>
      <c r="C323" s="105">
        <f>SUMIF('CH&amp;YP Gweithgaredd'!$C$4:$C$99967,"Celfyddydau Gweledol",'CH&amp;YP Gweithgaredd'!$X$4:$X$99967)</f>
        <v>0</v>
      </c>
      <c r="D323" s="102">
        <f t="shared" si="146"/>
        <v>1</v>
      </c>
      <c r="E323" s="14"/>
      <c r="F323" s="14"/>
      <c r="G323" s="14"/>
      <c r="H323" s="14"/>
      <c r="I323" s="14"/>
      <c r="J323" s="14"/>
      <c r="K323" s="100"/>
      <c r="L323" s="102">
        <f t="shared" si="147"/>
        <v>1</v>
      </c>
      <c r="M323" s="102" t="str">
        <f t="shared" ref="M323" si="209">IF(C322&lt;=C323,"ok","wrong")</f>
        <v>ok</v>
      </c>
    </row>
    <row r="324" spans="1:13">
      <c r="A324" s="155"/>
      <c r="B324" s="155" t="s">
        <v>612</v>
      </c>
      <c r="C324" s="105">
        <f>SUMIF('CH&amp;YP Gweithgaredd'!$C$4:$C$99967,"Celfyddydau Gweledol",'CH&amp;YP Gweithgaredd'!$T$4:$T$99967)</f>
        <v>0</v>
      </c>
      <c r="D324" s="102">
        <f t="shared" si="146"/>
        <v>1</v>
      </c>
      <c r="E324" s="14"/>
      <c r="F324" s="14"/>
      <c r="G324" s="14"/>
      <c r="H324" s="14"/>
      <c r="I324" s="14"/>
      <c r="J324" s="14"/>
      <c r="K324" s="100"/>
      <c r="L324" s="102">
        <f t="shared" si="147"/>
        <v>1</v>
      </c>
      <c r="M324" s="102" t="str">
        <f t="shared" ref="M324" si="210">IF(AND(C324&gt;=0.1,SUM(C325)&gt;=C324),"ok",IF(AND(C324=0,SUM(C325)=0),"ok",IF(AND(C324&gt;0.1,SUM(C325)=0),"wrong",IF(AND(C324=0,SUM(C325)&gt;0.1),"wrong"))))</f>
        <v>ok</v>
      </c>
    </row>
    <row r="325" spans="1:13">
      <c r="A325" s="155"/>
      <c r="B325" s="155" t="s">
        <v>613</v>
      </c>
      <c r="C325" s="105">
        <f>SUMIF('CH&amp;YP Gweithgaredd'!$C$4:$C$99967,"Celfyddydau Gweledol",'CH&amp;YP Gweithgaredd'!$Y$4:$Y$99967)</f>
        <v>0</v>
      </c>
      <c r="D325" s="102">
        <f t="shared" si="146"/>
        <v>1</v>
      </c>
      <c r="E325" s="14"/>
      <c r="F325" s="14"/>
      <c r="G325" s="14"/>
      <c r="H325" s="14"/>
      <c r="I325" s="14"/>
      <c r="J325" s="14"/>
      <c r="K325" s="100"/>
      <c r="L325" s="102">
        <f t="shared" si="147"/>
        <v>1</v>
      </c>
      <c r="M325" s="102" t="str">
        <f t="shared" ref="M325" si="211">IF(C324&lt;=C325,"ok","wrong")</f>
        <v>ok</v>
      </c>
    </row>
    <row r="326" spans="1:13">
      <c r="A326" s="155"/>
      <c r="B326" s="155" t="s">
        <v>614</v>
      </c>
      <c r="C326" s="105">
        <f>SUMIF('CH&amp;YP Gweithgaredd'!$C$4:$C$99967,"Celfyddydau Gweledol",'CH&amp;YP Gweithgaredd'!$U$4:$U$99967)</f>
        <v>0</v>
      </c>
      <c r="D326" s="102">
        <f t="shared" ref="D326:D381" si="212">L326</f>
        <v>1</v>
      </c>
      <c r="E326" s="14"/>
      <c r="F326" s="14"/>
      <c r="G326" s="14"/>
      <c r="H326" s="14"/>
      <c r="I326" s="14"/>
      <c r="J326" s="14"/>
      <c r="K326" s="100"/>
      <c r="L326" s="102">
        <f t="shared" ref="L326:L381" si="213">IF(M326="ok",1,0)</f>
        <v>1</v>
      </c>
      <c r="M326" s="102" t="str">
        <f t="shared" ref="M326" si="214">IF(AND(C326&gt;=0.1,SUM(C327)&gt;=C326),"ok",IF(AND(C326=0,SUM(C327)=0),"ok",IF(AND(C326&gt;0.1,SUM(C327)=0),"wrong",IF(AND(C326=0,SUM(C327)&gt;0.1),"wrong"))))</f>
        <v>ok</v>
      </c>
    </row>
    <row r="327" spans="1:13">
      <c r="A327" s="155"/>
      <c r="B327" s="155" t="s">
        <v>615</v>
      </c>
      <c r="C327" s="105">
        <f>SUMIF('CH&amp;YP Gweithgaredd'!$C$4:$C$99967,"Celfyddydau Gweledol",'CH&amp;YP Gweithgaredd'!$Z$4:$Z$99967)</f>
        <v>0</v>
      </c>
      <c r="D327" s="102">
        <f t="shared" si="212"/>
        <v>1</v>
      </c>
      <c r="E327" s="14"/>
      <c r="F327" s="14"/>
      <c r="G327" s="14"/>
      <c r="H327" s="14"/>
      <c r="I327" s="14"/>
      <c r="J327" s="14"/>
      <c r="K327" s="100"/>
      <c r="L327" s="102">
        <f t="shared" si="213"/>
        <v>1</v>
      </c>
      <c r="M327" s="102" t="str">
        <f t="shared" ref="M327" si="215">IF(C326&lt;=C327,"ok","wrong")</f>
        <v>ok</v>
      </c>
    </row>
    <row r="328" spans="1:13">
      <c r="A328" s="155"/>
      <c r="B328" s="155" t="s">
        <v>616</v>
      </c>
      <c r="C328" s="105">
        <f>SUMIF('CH&amp;YP Gweithgaredd'!$C$4:$C$99967,"Celfyddydau Gweledol",'CH&amp;YP Gweithgaredd'!$V$4:$V$99967)</f>
        <v>0</v>
      </c>
      <c r="D328" s="102">
        <f t="shared" si="212"/>
        <v>1</v>
      </c>
      <c r="E328" s="14"/>
      <c r="F328" s="14"/>
      <c r="G328" s="14"/>
      <c r="H328" s="14"/>
      <c r="I328" s="14"/>
      <c r="J328" s="14"/>
      <c r="K328" s="100"/>
      <c r="L328" s="102">
        <f t="shared" si="213"/>
        <v>1</v>
      </c>
      <c r="M328" s="102" t="str">
        <f t="shared" ref="M328" si="216">IF(AND(C328&gt;=0.1,SUM(C329)&gt;=C328),"ok",IF(AND(C328=0,SUM(C329)=0),"ok",IF(AND(C328&gt;0.1,SUM(C329)=0),"wrong",IF(AND(C328=0,SUM(C329)&gt;0.1),"wrong"))))</f>
        <v>ok</v>
      </c>
    </row>
    <row r="329" spans="1:13">
      <c r="A329" s="155"/>
      <c r="B329" s="155" t="s">
        <v>617</v>
      </c>
      <c r="C329" s="105">
        <f>SUMIF('CH&amp;YP Gweithgaredd'!$C$4:$C$99967,"Celfyddydau Gweledol",'CH&amp;YP Gweithgaredd'!$AA$4:$AA$99967)</f>
        <v>0</v>
      </c>
      <c r="D329" s="102">
        <f t="shared" si="212"/>
        <v>1</v>
      </c>
      <c r="E329" s="14"/>
      <c r="F329" s="14"/>
      <c r="G329" s="14"/>
      <c r="H329" s="14"/>
      <c r="I329" s="14"/>
      <c r="J329" s="14"/>
      <c r="K329" s="100"/>
      <c r="L329" s="102">
        <f t="shared" si="213"/>
        <v>1</v>
      </c>
      <c r="M329" s="102" t="str">
        <f t="shared" ref="M329" si="217">IF(C328&lt;=C329,"ok","wrong")</f>
        <v>ok</v>
      </c>
    </row>
    <row r="330" spans="1:13">
      <c r="A330" s="155"/>
      <c r="B330" s="155" t="s">
        <v>618</v>
      </c>
      <c r="C330" s="105">
        <f>SUMIF('CH&amp;YP Gweithgaredd'!$C$4:$C$99967,"Celfyddydau Gweledol",'CH&amp;YP Gweithgaredd'!$W$4:$W$99967)</f>
        <v>0</v>
      </c>
      <c r="D330" s="102">
        <f t="shared" si="212"/>
        <v>1</v>
      </c>
      <c r="E330" s="14"/>
      <c r="F330" s="14"/>
      <c r="G330" s="14"/>
      <c r="H330" s="14"/>
      <c r="I330" s="14"/>
      <c r="J330" s="14"/>
      <c r="K330" s="100"/>
      <c r="L330" s="102">
        <f t="shared" si="213"/>
        <v>1</v>
      </c>
      <c r="M330" s="102" t="str">
        <f t="shared" ref="M330" si="218">IF(AND(C330&gt;=0.1,SUM(C331)&gt;=C330),"ok",IF(AND(C330=0,SUM(C331)=0),"ok",IF(AND(C330&gt;0.1,SUM(C331)=0),"wrong",IF(AND(C330=0,SUM(C331)&gt;0.1),"wrong"))))</f>
        <v>ok</v>
      </c>
    </row>
    <row r="331" spans="1:13">
      <c r="A331" s="155"/>
      <c r="B331" s="155" t="s">
        <v>619</v>
      </c>
      <c r="C331" s="105">
        <f>SUMIF('CH&amp;YP Gweithgaredd'!$C$4:$C$99967,"Celfyddydau Gweledol",'CH&amp;YP Gweithgaredd'!$AB$4:$AB$99967)</f>
        <v>0</v>
      </c>
      <c r="D331" s="102">
        <f t="shared" si="212"/>
        <v>1</v>
      </c>
      <c r="E331" s="14"/>
      <c r="F331" s="14"/>
      <c r="G331" s="14"/>
      <c r="H331" s="14"/>
      <c r="I331" s="14"/>
      <c r="J331" s="14"/>
      <c r="K331" s="100"/>
      <c r="L331" s="102">
        <f t="shared" si="213"/>
        <v>1</v>
      </c>
      <c r="M331" s="102" t="str">
        <f t="shared" ref="M331" si="219">IF(C330&lt;=C331,"ok","wrong")</f>
        <v>ok</v>
      </c>
    </row>
    <row r="332" spans="1:13" ht="16">
      <c r="A332" s="106" t="s">
        <v>384</v>
      </c>
      <c r="B332" s="155" t="s">
        <v>610</v>
      </c>
      <c r="C332" s="105">
        <f>SUMIF('CH&amp;YP Gweithgaredd'!$C$4:$C$99967,"Crefft",'CH&amp;YP Gweithgaredd'!$S$4:$S$99967)</f>
        <v>0</v>
      </c>
      <c r="D332" s="102">
        <f t="shared" si="212"/>
        <v>1</v>
      </c>
      <c r="E332" s="14"/>
      <c r="F332" s="14"/>
      <c r="G332" s="14"/>
      <c r="H332" s="14"/>
      <c r="I332" s="14"/>
      <c r="J332" s="14"/>
      <c r="K332" s="100"/>
      <c r="L332" s="102">
        <f t="shared" si="213"/>
        <v>1</v>
      </c>
      <c r="M332" s="102" t="str">
        <f t="shared" ref="M332" si="220">IF(AND(C332&gt;=0.1,SUM(C333)&gt;=C332),"ok",IF(AND(C332=0,SUM(C333)=0),"ok",IF(AND(C332&gt;0.1,SUM(C333)=0),"wrong",IF(AND(C332=0,SUM(C333)&gt;0.1),"wrong"))))</f>
        <v>ok</v>
      </c>
    </row>
    <row r="333" spans="1:13">
      <c r="A333" s="155"/>
      <c r="B333" s="155" t="s">
        <v>611</v>
      </c>
      <c r="C333" s="105">
        <f>SUMIF('CH&amp;YP Gweithgaredd'!$C$4:$C$99967,"Crefft",'CH&amp;YP Gweithgaredd'!$X$4:$X$99967)</f>
        <v>0</v>
      </c>
      <c r="D333" s="102">
        <f t="shared" si="212"/>
        <v>1</v>
      </c>
      <c r="E333" s="14"/>
      <c r="F333" s="14"/>
      <c r="G333" s="14"/>
      <c r="H333" s="14"/>
      <c r="I333" s="14"/>
      <c r="J333" s="14"/>
      <c r="K333" s="100"/>
      <c r="L333" s="102">
        <f t="shared" si="213"/>
        <v>1</v>
      </c>
      <c r="M333" s="102" t="str">
        <f t="shared" ref="M333" si="221">IF(C332&lt;=C333,"ok","wrong")</f>
        <v>ok</v>
      </c>
    </row>
    <row r="334" spans="1:13">
      <c r="A334" s="155"/>
      <c r="B334" s="155" t="s">
        <v>612</v>
      </c>
      <c r="C334" s="105">
        <f>SUMIF('CH&amp;YP Gweithgaredd'!$C$4:$C$99967,"Crefft",'CH&amp;YP Gweithgaredd'!$T$4:$T$99967)</f>
        <v>0</v>
      </c>
      <c r="D334" s="102">
        <f t="shared" si="212"/>
        <v>1</v>
      </c>
      <c r="E334" s="14"/>
      <c r="F334" s="14"/>
      <c r="G334" s="14"/>
      <c r="H334" s="14"/>
      <c r="I334" s="14"/>
      <c r="J334" s="14"/>
      <c r="K334" s="100"/>
      <c r="L334" s="102">
        <f t="shared" si="213"/>
        <v>1</v>
      </c>
      <c r="M334" s="102" t="str">
        <f t="shared" ref="M334" si="222">IF(AND(C334&gt;=0.1,SUM(C335)&gt;=C334),"ok",IF(AND(C334=0,SUM(C335)=0),"ok",IF(AND(C334&gt;0.1,SUM(C335)=0),"wrong",IF(AND(C334=0,SUM(C335)&gt;0.1),"wrong"))))</f>
        <v>ok</v>
      </c>
    </row>
    <row r="335" spans="1:13">
      <c r="A335" s="155"/>
      <c r="B335" s="155" t="s">
        <v>613</v>
      </c>
      <c r="C335" s="105">
        <f>SUMIF('CH&amp;YP Gweithgaredd'!$C$4:$C$99967,"Crefft",'CH&amp;YP Gweithgaredd'!$Y$4:$Y$99967)</f>
        <v>0</v>
      </c>
      <c r="D335" s="102">
        <f t="shared" si="212"/>
        <v>1</v>
      </c>
      <c r="E335" s="14"/>
      <c r="F335" s="14"/>
      <c r="G335" s="14"/>
      <c r="H335" s="14"/>
      <c r="I335" s="14"/>
      <c r="J335" s="14"/>
      <c r="K335" s="100"/>
      <c r="L335" s="102">
        <f t="shared" si="213"/>
        <v>1</v>
      </c>
      <c r="M335" s="102" t="str">
        <f t="shared" ref="M335" si="223">IF(C334&lt;=C335,"ok","wrong")</f>
        <v>ok</v>
      </c>
    </row>
    <row r="336" spans="1:13">
      <c r="A336" s="155"/>
      <c r="B336" s="155" t="s">
        <v>614</v>
      </c>
      <c r="C336" s="105">
        <f>SUMIF('CH&amp;YP Gweithgaredd'!$C$4:$C$99967,"Crefft",'CH&amp;YP Gweithgaredd'!$U$4:$U$99967)</f>
        <v>0</v>
      </c>
      <c r="D336" s="102">
        <f t="shared" si="212"/>
        <v>1</v>
      </c>
      <c r="E336" s="14"/>
      <c r="F336" s="14"/>
      <c r="G336" s="14"/>
      <c r="H336" s="14"/>
      <c r="I336" s="14"/>
      <c r="J336" s="14"/>
      <c r="K336" s="100"/>
      <c r="L336" s="102">
        <f t="shared" si="213"/>
        <v>1</v>
      </c>
      <c r="M336" s="102" t="str">
        <f t="shared" ref="M336" si="224">IF(AND(C336&gt;=0.1,SUM(C337)&gt;=C336),"ok",IF(AND(C336=0,SUM(C337)=0),"ok",IF(AND(C336&gt;0.1,SUM(C337)=0),"wrong",IF(AND(C336=0,SUM(C337)&gt;0.1),"wrong"))))</f>
        <v>ok</v>
      </c>
    </row>
    <row r="337" spans="1:13">
      <c r="A337" s="155"/>
      <c r="B337" s="155" t="s">
        <v>615</v>
      </c>
      <c r="C337" s="105">
        <f>SUMIF('CH&amp;YP Gweithgaredd'!$C$4:$C$99967,"Crefft",'CH&amp;YP Gweithgaredd'!$Z$4:$Z$99967)</f>
        <v>0</v>
      </c>
      <c r="D337" s="102">
        <f t="shared" si="212"/>
        <v>1</v>
      </c>
      <c r="E337" s="14"/>
      <c r="F337" s="14"/>
      <c r="G337" s="14"/>
      <c r="H337" s="14"/>
      <c r="I337" s="14"/>
      <c r="J337" s="14"/>
      <c r="K337" s="100"/>
      <c r="L337" s="102">
        <f t="shared" si="213"/>
        <v>1</v>
      </c>
      <c r="M337" s="102" t="str">
        <f t="shared" ref="M337" si="225">IF(C336&lt;=C337,"ok","wrong")</f>
        <v>ok</v>
      </c>
    </row>
    <row r="338" spans="1:13">
      <c r="A338" s="155"/>
      <c r="B338" s="155" t="s">
        <v>616</v>
      </c>
      <c r="C338" s="105">
        <f>SUMIF('CH&amp;YP Gweithgaredd'!$C$4:$C$99967,"Crefft",'CH&amp;YP Gweithgaredd'!$V$4:$V$99967)</f>
        <v>0</v>
      </c>
      <c r="D338" s="102">
        <f t="shared" si="212"/>
        <v>1</v>
      </c>
      <c r="E338" s="14"/>
      <c r="F338" s="14"/>
      <c r="G338" s="14"/>
      <c r="H338" s="14"/>
      <c r="I338" s="14"/>
      <c r="J338" s="14"/>
      <c r="K338" s="100"/>
      <c r="L338" s="102">
        <f t="shared" si="213"/>
        <v>1</v>
      </c>
      <c r="M338" s="102" t="str">
        <f t="shared" ref="M338" si="226">IF(AND(C338&gt;=0.1,SUM(C339)&gt;=C338),"ok",IF(AND(C338=0,SUM(C339)=0),"ok",IF(AND(C338&gt;0.1,SUM(C339)=0),"wrong",IF(AND(C338=0,SUM(C339)&gt;0.1),"wrong"))))</f>
        <v>ok</v>
      </c>
    </row>
    <row r="339" spans="1:13">
      <c r="A339" s="155"/>
      <c r="B339" s="155" t="s">
        <v>617</v>
      </c>
      <c r="C339" s="105">
        <f>SUMIF('CH&amp;YP Gweithgaredd'!$C$4:$C$99967,"Crefft",'CH&amp;YP Gweithgaredd'!$AA$4:$AA$99967)</f>
        <v>0</v>
      </c>
      <c r="D339" s="102">
        <f t="shared" si="212"/>
        <v>1</v>
      </c>
      <c r="E339" s="14"/>
      <c r="F339" s="14"/>
      <c r="G339" s="14"/>
      <c r="H339" s="14"/>
      <c r="I339" s="14"/>
      <c r="J339" s="14"/>
      <c r="K339" s="100"/>
      <c r="L339" s="102">
        <f t="shared" si="213"/>
        <v>1</v>
      </c>
      <c r="M339" s="102" t="str">
        <f t="shared" ref="M339" si="227">IF(C338&lt;=C339,"ok","wrong")</f>
        <v>ok</v>
      </c>
    </row>
    <row r="340" spans="1:13">
      <c r="A340" s="155"/>
      <c r="B340" s="155" t="s">
        <v>618</v>
      </c>
      <c r="C340" s="105">
        <f>SUMIF('CH&amp;YP Gweithgaredd'!$C$4:$C$99967,"Crefft",'CH&amp;YP Gweithgaredd'!$W$4:$W$99967)</f>
        <v>0</v>
      </c>
      <c r="D340" s="102">
        <f t="shared" si="212"/>
        <v>1</v>
      </c>
      <c r="E340" s="14"/>
      <c r="F340" s="14"/>
      <c r="G340" s="14"/>
      <c r="H340" s="14"/>
      <c r="I340" s="14"/>
      <c r="J340" s="14"/>
      <c r="K340" s="100"/>
      <c r="L340" s="102">
        <f t="shared" si="213"/>
        <v>1</v>
      </c>
      <c r="M340" s="102" t="str">
        <f t="shared" ref="M340" si="228">IF(AND(C340&gt;=0.1,SUM(C341)&gt;=C340),"ok",IF(AND(C340=0,SUM(C341)=0),"ok",IF(AND(C340&gt;0.1,SUM(C341)=0),"wrong",IF(AND(C340=0,SUM(C341)&gt;0.1),"wrong"))))</f>
        <v>ok</v>
      </c>
    </row>
    <row r="341" spans="1:13">
      <c r="A341" s="155"/>
      <c r="B341" s="155" t="s">
        <v>619</v>
      </c>
      <c r="C341" s="105">
        <f>SUMIF('CH&amp;YP Gweithgaredd'!$C$4:$C$99967,"Crefft",'CH&amp;YP Gweithgaredd'!$AB$4:$AB$99967)</f>
        <v>0</v>
      </c>
      <c r="D341" s="102">
        <f t="shared" si="212"/>
        <v>1</v>
      </c>
      <c r="E341" s="14"/>
      <c r="F341" s="14"/>
      <c r="G341" s="14"/>
      <c r="H341" s="14"/>
      <c r="I341" s="14"/>
      <c r="J341" s="14"/>
      <c r="K341" s="100"/>
      <c r="L341" s="102">
        <f t="shared" si="213"/>
        <v>1</v>
      </c>
      <c r="M341" s="102" t="str">
        <f t="shared" ref="M341" si="229">IF(C340&lt;=C341,"ok","wrong")</f>
        <v>ok</v>
      </c>
    </row>
    <row r="342" spans="1:13" ht="16">
      <c r="A342" s="106" t="s">
        <v>385</v>
      </c>
      <c r="B342" s="155" t="s">
        <v>610</v>
      </c>
      <c r="C342" s="105">
        <f>SUMIF('CH&amp;YP Gweithgaredd'!$C$4:$C$99967,"Llenyddiaeth",'CH&amp;YP Gweithgaredd'!$S$4:$S$99967)</f>
        <v>0</v>
      </c>
      <c r="D342" s="102">
        <f t="shared" si="212"/>
        <v>1</v>
      </c>
      <c r="E342" s="14"/>
      <c r="F342" s="14"/>
      <c r="G342" s="14"/>
      <c r="H342" s="14"/>
      <c r="I342" s="14"/>
      <c r="J342" s="14"/>
      <c r="K342" s="100"/>
      <c r="L342" s="102">
        <f t="shared" si="213"/>
        <v>1</v>
      </c>
      <c r="M342" s="102" t="str">
        <f t="shared" ref="M342" si="230">IF(AND(C342&gt;=0.1,SUM(C343)&gt;=C342),"ok",IF(AND(C342=0,SUM(C343)=0),"ok",IF(AND(C342&gt;0.1,SUM(C343)=0),"wrong",IF(AND(C342=0,SUM(C343)&gt;0.1),"wrong"))))</f>
        <v>ok</v>
      </c>
    </row>
    <row r="343" spans="1:13">
      <c r="A343" s="155"/>
      <c r="B343" s="155" t="s">
        <v>611</v>
      </c>
      <c r="C343" s="105">
        <f>SUMIF('CH&amp;YP Gweithgaredd'!$C$4:$C$99967,"Llenyddiaeth",'CH&amp;YP Gweithgaredd'!$X$4:$X$99967)</f>
        <v>0</v>
      </c>
      <c r="D343" s="102">
        <f t="shared" si="212"/>
        <v>1</v>
      </c>
      <c r="E343" s="14"/>
      <c r="F343" s="14"/>
      <c r="G343" s="14"/>
      <c r="H343" s="14"/>
      <c r="I343" s="14"/>
      <c r="J343" s="14"/>
      <c r="K343" s="100"/>
      <c r="L343" s="102">
        <f t="shared" si="213"/>
        <v>1</v>
      </c>
      <c r="M343" s="102" t="str">
        <f t="shared" ref="M343" si="231">IF(C342&lt;=C343,"ok","wrong")</f>
        <v>ok</v>
      </c>
    </row>
    <row r="344" spans="1:13">
      <c r="A344" s="155"/>
      <c r="B344" s="155" t="s">
        <v>612</v>
      </c>
      <c r="C344" s="105">
        <f>SUMIF('CH&amp;YP Gweithgaredd'!$C$4:$C$99967,"Llenyddiaeth",'CH&amp;YP Gweithgaredd'!$T$4:$T$99967)</f>
        <v>0</v>
      </c>
      <c r="D344" s="102">
        <f t="shared" si="212"/>
        <v>1</v>
      </c>
      <c r="E344" s="14"/>
      <c r="F344" s="14"/>
      <c r="G344" s="14"/>
      <c r="H344" s="14"/>
      <c r="I344" s="14"/>
      <c r="J344" s="14"/>
      <c r="K344" s="100"/>
      <c r="L344" s="102">
        <f t="shared" si="213"/>
        <v>1</v>
      </c>
      <c r="M344" s="102" t="str">
        <f t="shared" ref="M344" si="232">IF(AND(C344&gt;=0.1,SUM(C345)&gt;=C344),"ok",IF(AND(C344=0,SUM(C345)=0),"ok",IF(AND(C344&gt;0.1,SUM(C345)=0),"wrong",IF(AND(C344=0,SUM(C345)&gt;0.1),"wrong"))))</f>
        <v>ok</v>
      </c>
    </row>
    <row r="345" spans="1:13">
      <c r="A345" s="155"/>
      <c r="B345" s="155" t="s">
        <v>613</v>
      </c>
      <c r="C345" s="105">
        <f>SUMIF('CH&amp;YP Gweithgaredd'!$C$4:$C$99967,"Llenyddiaeth",'CH&amp;YP Gweithgaredd'!$Y$4:$Y$99967)</f>
        <v>0</v>
      </c>
      <c r="D345" s="102">
        <f t="shared" si="212"/>
        <v>1</v>
      </c>
      <c r="E345" s="14"/>
      <c r="F345" s="14"/>
      <c r="G345" s="14"/>
      <c r="H345" s="14"/>
      <c r="I345" s="14"/>
      <c r="J345" s="14"/>
      <c r="K345" s="100"/>
      <c r="L345" s="102">
        <f t="shared" si="213"/>
        <v>1</v>
      </c>
      <c r="M345" s="102" t="str">
        <f t="shared" ref="M345" si="233">IF(C344&lt;=C345,"ok","wrong")</f>
        <v>ok</v>
      </c>
    </row>
    <row r="346" spans="1:13">
      <c r="A346" s="155"/>
      <c r="B346" s="155" t="s">
        <v>614</v>
      </c>
      <c r="C346" s="105">
        <f>SUMIF('CH&amp;YP Gweithgaredd'!$C$4:$C$99967,"Llenyddiaeth",'CH&amp;YP Gweithgaredd'!$U$4:$U$99967)</f>
        <v>0</v>
      </c>
      <c r="D346" s="102">
        <f t="shared" si="212"/>
        <v>1</v>
      </c>
      <c r="E346" s="14"/>
      <c r="F346" s="14"/>
      <c r="G346" s="14"/>
      <c r="H346" s="14"/>
      <c r="I346" s="14"/>
      <c r="J346" s="14"/>
      <c r="K346" s="100"/>
      <c r="L346" s="102">
        <f t="shared" si="213"/>
        <v>1</v>
      </c>
      <c r="M346" s="102" t="str">
        <f t="shared" ref="M346" si="234">IF(AND(C346&gt;=0.1,SUM(C347)&gt;=C346),"ok",IF(AND(C346=0,SUM(C347)=0),"ok",IF(AND(C346&gt;0.1,SUM(C347)=0),"wrong",IF(AND(C346=0,SUM(C347)&gt;0.1),"wrong"))))</f>
        <v>ok</v>
      </c>
    </row>
    <row r="347" spans="1:13">
      <c r="A347" s="155"/>
      <c r="B347" s="155" t="s">
        <v>615</v>
      </c>
      <c r="C347" s="105">
        <f>SUMIF('CH&amp;YP Gweithgaredd'!$C$4:$C$99967,"Llenyddiaeth",'CH&amp;YP Gweithgaredd'!$Z$4:$Z$99967)</f>
        <v>0</v>
      </c>
      <c r="D347" s="102">
        <f t="shared" si="212"/>
        <v>1</v>
      </c>
      <c r="E347" s="14"/>
      <c r="F347" s="14"/>
      <c r="G347" s="14"/>
      <c r="H347" s="14"/>
      <c r="I347" s="14"/>
      <c r="J347" s="14"/>
      <c r="K347" s="100"/>
      <c r="L347" s="102">
        <f t="shared" si="213"/>
        <v>1</v>
      </c>
      <c r="M347" s="102" t="str">
        <f t="shared" ref="M347" si="235">IF(C346&lt;=C347,"ok","wrong")</f>
        <v>ok</v>
      </c>
    </row>
    <row r="348" spans="1:13">
      <c r="A348" s="155"/>
      <c r="B348" s="155" t="s">
        <v>616</v>
      </c>
      <c r="C348" s="105">
        <f>SUMIF('CH&amp;YP Gweithgaredd'!$C$4:$C$99967,"Llenyddiaeth",'CH&amp;YP Gweithgaredd'!$V$4:$V$99967)</f>
        <v>0</v>
      </c>
      <c r="D348" s="102">
        <f t="shared" si="212"/>
        <v>1</v>
      </c>
      <c r="E348" s="14"/>
      <c r="F348" s="14"/>
      <c r="G348" s="14"/>
      <c r="H348" s="14"/>
      <c r="I348" s="14"/>
      <c r="J348" s="14"/>
      <c r="K348" s="100"/>
      <c r="L348" s="102">
        <f t="shared" si="213"/>
        <v>1</v>
      </c>
      <c r="M348" s="102" t="str">
        <f t="shared" ref="M348" si="236">IF(AND(C348&gt;=0.1,SUM(C349)&gt;=C348),"ok",IF(AND(C348=0,SUM(C349)=0),"ok",IF(AND(C348&gt;0.1,SUM(C349)=0),"wrong",IF(AND(C348=0,SUM(C349)&gt;0.1),"wrong"))))</f>
        <v>ok</v>
      </c>
    </row>
    <row r="349" spans="1:13">
      <c r="A349" s="155"/>
      <c r="B349" s="155" t="s">
        <v>617</v>
      </c>
      <c r="C349" s="105">
        <f>SUMIF('CH&amp;YP Gweithgaredd'!$C$4:$C$99967,"Llenyddiaeth",'CH&amp;YP Gweithgaredd'!$AA$4:$AA$99967)</f>
        <v>0</v>
      </c>
      <c r="D349" s="102">
        <f t="shared" si="212"/>
        <v>1</v>
      </c>
      <c r="E349" s="14"/>
      <c r="F349" s="14"/>
      <c r="G349" s="14"/>
      <c r="H349" s="14"/>
      <c r="I349" s="14"/>
      <c r="J349" s="14"/>
      <c r="K349" s="100"/>
      <c r="L349" s="102">
        <f t="shared" si="213"/>
        <v>1</v>
      </c>
      <c r="M349" s="102" t="str">
        <f t="shared" ref="M349" si="237">IF(C348&lt;=C349,"ok","wrong")</f>
        <v>ok</v>
      </c>
    </row>
    <row r="350" spans="1:13">
      <c r="A350" s="155"/>
      <c r="B350" s="155" t="s">
        <v>618</v>
      </c>
      <c r="C350" s="105">
        <f>SUMIF('CH&amp;YP Gweithgaredd'!$C$4:$C$99967,"Llenyddiaeth",'CH&amp;YP Gweithgaredd'!$W$4:$W$99967)</f>
        <v>0</v>
      </c>
      <c r="D350" s="102">
        <f t="shared" si="212"/>
        <v>1</v>
      </c>
      <c r="E350" s="14"/>
      <c r="F350" s="14"/>
      <c r="G350" s="14"/>
      <c r="H350" s="14"/>
      <c r="I350" s="14"/>
      <c r="J350" s="14"/>
      <c r="K350" s="100"/>
      <c r="L350" s="102">
        <f t="shared" si="213"/>
        <v>1</v>
      </c>
      <c r="M350" s="102" t="str">
        <f t="shared" ref="M350" si="238">IF(AND(C350&gt;=0.1,SUM(C351)&gt;=C350),"ok",IF(AND(C350=0,SUM(C351)=0),"ok",IF(AND(C350&gt;0.1,SUM(C351)=0),"wrong",IF(AND(C350=0,SUM(C351)&gt;0.1),"wrong"))))</f>
        <v>ok</v>
      </c>
    </row>
    <row r="351" spans="1:13">
      <c r="A351" s="155"/>
      <c r="B351" s="155" t="s">
        <v>619</v>
      </c>
      <c r="C351" s="105">
        <f>SUMIF('CH&amp;YP Gweithgaredd'!$C$4:$C$99967,"Llenyddiaeth",'CH&amp;YP Gweithgaredd'!$AB$4:$AB$99967)</f>
        <v>0</v>
      </c>
      <c r="D351" s="102">
        <f t="shared" si="212"/>
        <v>1</v>
      </c>
      <c r="E351" s="14"/>
      <c r="F351" s="14"/>
      <c r="G351" s="14"/>
      <c r="H351" s="14"/>
      <c r="I351" s="14"/>
      <c r="J351" s="14"/>
      <c r="K351" s="100"/>
      <c r="L351" s="102">
        <f t="shared" si="213"/>
        <v>1</v>
      </c>
      <c r="M351" s="102" t="str">
        <f t="shared" ref="M351" si="239">IF(C350&lt;=C351,"ok","wrong")</f>
        <v>ok</v>
      </c>
    </row>
    <row r="352" spans="1:13" ht="16">
      <c r="A352" s="106" t="s">
        <v>386</v>
      </c>
      <c r="B352" s="155" t="s">
        <v>610</v>
      </c>
      <c r="C352" s="105">
        <f>SUMIF('CH&amp;YP Gweithgaredd'!$C$4:$C$99967,"Celf Gyhoeddus",'CH&amp;YP Gweithgaredd'!$S$4:$S$99967)</f>
        <v>0</v>
      </c>
      <c r="D352" s="102">
        <f t="shared" si="212"/>
        <v>1</v>
      </c>
      <c r="E352" s="14"/>
      <c r="F352" s="14"/>
      <c r="G352" s="14"/>
      <c r="H352" s="14"/>
      <c r="I352" s="14"/>
      <c r="J352" s="14"/>
      <c r="K352" s="100"/>
      <c r="L352" s="102">
        <f t="shared" si="213"/>
        <v>1</v>
      </c>
      <c r="M352" s="102" t="str">
        <f t="shared" ref="M352" si="240">IF(AND(C352&gt;=0.1,SUM(C353)&gt;=C352),"ok",IF(AND(C352=0,SUM(C353)=0),"ok",IF(AND(C352&gt;0.1,SUM(C353)=0),"wrong",IF(AND(C352=0,SUM(C353)&gt;0.1),"wrong"))))</f>
        <v>ok</v>
      </c>
    </row>
    <row r="353" spans="1:13">
      <c r="A353" s="155"/>
      <c r="B353" s="155" t="s">
        <v>611</v>
      </c>
      <c r="C353" s="105">
        <f>SUMIF('CH&amp;YP Gweithgaredd'!$C$4:$C$99967,"Celf Gyhoeddus",'CH&amp;YP Gweithgaredd'!$X$4:$X$99967)</f>
        <v>0</v>
      </c>
      <c r="D353" s="102">
        <f t="shared" si="212"/>
        <v>1</v>
      </c>
      <c r="E353" s="14"/>
      <c r="F353" s="14"/>
      <c r="G353" s="14"/>
      <c r="H353" s="14"/>
      <c r="I353" s="14"/>
      <c r="J353" s="14"/>
      <c r="K353" s="100"/>
      <c r="L353" s="102">
        <f t="shared" si="213"/>
        <v>1</v>
      </c>
      <c r="M353" s="102" t="str">
        <f t="shared" ref="M353" si="241">IF(C352&lt;=C353,"ok","wrong")</f>
        <v>ok</v>
      </c>
    </row>
    <row r="354" spans="1:13">
      <c r="A354" s="155"/>
      <c r="B354" s="155" t="s">
        <v>612</v>
      </c>
      <c r="C354" s="105">
        <f>SUMIF('CH&amp;YP Gweithgaredd'!$C$4:$C$99967,"Celf Gyhoeddus",'CH&amp;YP Gweithgaredd'!$T$4:$T$99967)</f>
        <v>0</v>
      </c>
      <c r="D354" s="102">
        <f t="shared" si="212"/>
        <v>1</v>
      </c>
      <c r="E354" s="14"/>
      <c r="F354" s="14"/>
      <c r="G354" s="14"/>
      <c r="H354" s="14"/>
      <c r="I354" s="14"/>
      <c r="J354" s="14"/>
      <c r="K354" s="100"/>
      <c r="L354" s="102">
        <f t="shared" si="213"/>
        <v>1</v>
      </c>
      <c r="M354" s="102" t="str">
        <f t="shared" ref="M354" si="242">IF(AND(C354&gt;=0.1,SUM(C355)&gt;=C354),"ok",IF(AND(C354=0,SUM(C355)=0),"ok",IF(AND(C354&gt;0.1,SUM(C355)=0),"wrong",IF(AND(C354=0,SUM(C355)&gt;0.1),"wrong"))))</f>
        <v>ok</v>
      </c>
    </row>
    <row r="355" spans="1:13">
      <c r="A355" s="155"/>
      <c r="B355" s="155" t="s">
        <v>613</v>
      </c>
      <c r="C355" s="105">
        <f>SUMIF('CH&amp;YP Gweithgaredd'!$C$4:$C$99967,"Celf Gyhoeddus",'CH&amp;YP Gweithgaredd'!$Y$4:$Y$99967)</f>
        <v>0</v>
      </c>
      <c r="D355" s="102">
        <f t="shared" si="212"/>
        <v>1</v>
      </c>
      <c r="E355" s="14"/>
      <c r="F355" s="14"/>
      <c r="G355" s="14"/>
      <c r="H355" s="14"/>
      <c r="I355" s="14"/>
      <c r="J355" s="14"/>
      <c r="K355" s="100"/>
      <c r="L355" s="102">
        <f t="shared" si="213"/>
        <v>1</v>
      </c>
      <c r="M355" s="102" t="str">
        <f t="shared" ref="M355" si="243">IF(C354&lt;=C355,"ok","wrong")</f>
        <v>ok</v>
      </c>
    </row>
    <row r="356" spans="1:13">
      <c r="A356" s="155"/>
      <c r="B356" s="155" t="s">
        <v>614</v>
      </c>
      <c r="C356" s="105">
        <f>SUMIF('CH&amp;YP Gweithgaredd'!$C$4:$C$99967,"Celf Gyhoeddus",'CH&amp;YP Gweithgaredd'!$U$4:$U$99967)</f>
        <v>0</v>
      </c>
      <c r="D356" s="102">
        <f t="shared" si="212"/>
        <v>1</v>
      </c>
      <c r="E356" s="14"/>
      <c r="F356" s="14"/>
      <c r="G356" s="14"/>
      <c r="H356" s="14"/>
      <c r="I356" s="14"/>
      <c r="J356" s="14"/>
      <c r="K356" s="100"/>
      <c r="L356" s="102">
        <f t="shared" si="213"/>
        <v>1</v>
      </c>
      <c r="M356" s="102" t="str">
        <f t="shared" ref="M356" si="244">IF(AND(C356&gt;=0.1,SUM(C357)&gt;=C356),"ok",IF(AND(C356=0,SUM(C357)=0),"ok",IF(AND(C356&gt;0.1,SUM(C357)=0),"wrong",IF(AND(C356=0,SUM(C357)&gt;0.1),"wrong"))))</f>
        <v>ok</v>
      </c>
    </row>
    <row r="357" spans="1:13">
      <c r="A357" s="155"/>
      <c r="B357" s="155" t="s">
        <v>615</v>
      </c>
      <c r="C357" s="105">
        <f>SUMIF('CH&amp;YP Gweithgaredd'!$C$4:$C$99967,"Celf Gyhoeddus",'CH&amp;YP Gweithgaredd'!$Z$4:$Z$99967)</f>
        <v>0</v>
      </c>
      <c r="D357" s="102">
        <f t="shared" si="212"/>
        <v>1</v>
      </c>
      <c r="E357" s="14"/>
      <c r="F357" s="14"/>
      <c r="G357" s="14"/>
      <c r="H357" s="14"/>
      <c r="I357" s="14"/>
      <c r="J357" s="14"/>
      <c r="K357" s="100"/>
      <c r="L357" s="102">
        <f t="shared" si="213"/>
        <v>1</v>
      </c>
      <c r="M357" s="102" t="str">
        <f t="shared" ref="M357" si="245">IF(C356&lt;=C357,"ok","wrong")</f>
        <v>ok</v>
      </c>
    </row>
    <row r="358" spans="1:13">
      <c r="A358" s="155"/>
      <c r="B358" s="155" t="s">
        <v>616</v>
      </c>
      <c r="C358" s="105">
        <f>SUMIF('CH&amp;YP Gweithgaredd'!$C$4:$C$99967,"Celf Gyhoeddus",'CH&amp;YP Gweithgaredd'!$V$4:$V$99967)</f>
        <v>0</v>
      </c>
      <c r="D358" s="102">
        <f t="shared" si="212"/>
        <v>1</v>
      </c>
      <c r="E358" s="14"/>
      <c r="F358" s="14"/>
      <c r="G358" s="14"/>
      <c r="H358" s="14"/>
      <c r="I358" s="14"/>
      <c r="J358" s="14"/>
      <c r="K358" s="100"/>
      <c r="L358" s="102">
        <f t="shared" si="213"/>
        <v>1</v>
      </c>
      <c r="M358" s="102" t="str">
        <f t="shared" ref="M358" si="246">IF(AND(C358&gt;=0.1,SUM(C359)&gt;=C358),"ok",IF(AND(C358=0,SUM(C359)=0),"ok",IF(AND(C358&gt;0.1,SUM(C359)=0),"wrong",IF(AND(C358=0,SUM(C359)&gt;0.1),"wrong"))))</f>
        <v>ok</v>
      </c>
    </row>
    <row r="359" spans="1:13">
      <c r="A359" s="155"/>
      <c r="B359" s="155" t="s">
        <v>617</v>
      </c>
      <c r="C359" s="105">
        <f>SUMIF('CH&amp;YP Gweithgaredd'!$C$4:$C$99967,"Celf Gyhoeddus",'CH&amp;YP Gweithgaredd'!$AA$4:$AA$99967)</f>
        <v>0</v>
      </c>
      <c r="D359" s="102">
        <f t="shared" si="212"/>
        <v>1</v>
      </c>
      <c r="E359" s="14"/>
      <c r="F359" s="14"/>
      <c r="G359" s="14"/>
      <c r="H359" s="14"/>
      <c r="I359" s="14"/>
      <c r="J359" s="14"/>
      <c r="K359" s="100"/>
      <c r="L359" s="102">
        <f t="shared" si="213"/>
        <v>1</v>
      </c>
      <c r="M359" s="102" t="str">
        <f t="shared" ref="M359" si="247">IF(C358&lt;=C359,"ok","wrong")</f>
        <v>ok</v>
      </c>
    </row>
    <row r="360" spans="1:13">
      <c r="A360" s="155"/>
      <c r="B360" s="155" t="s">
        <v>618</v>
      </c>
      <c r="C360" s="105">
        <f>SUMIF('CH&amp;YP Gweithgaredd'!$C$4:$C$99967,"Celf Gyhoeddus",'CH&amp;YP Gweithgaredd'!$W$4:$W$99967)</f>
        <v>0</v>
      </c>
      <c r="D360" s="102">
        <f t="shared" si="212"/>
        <v>1</v>
      </c>
      <c r="E360" s="14"/>
      <c r="F360" s="14"/>
      <c r="G360" s="14"/>
      <c r="H360" s="14"/>
      <c r="I360" s="14"/>
      <c r="J360" s="14"/>
      <c r="K360" s="100"/>
      <c r="L360" s="102">
        <f t="shared" si="213"/>
        <v>1</v>
      </c>
      <c r="M360" s="102" t="str">
        <f t="shared" ref="M360" si="248">IF(AND(C360&gt;=0.1,SUM(C361)&gt;=C360),"ok",IF(AND(C360=0,SUM(C361)=0),"ok",IF(AND(C360&gt;0.1,SUM(C361)=0),"wrong",IF(AND(C360=0,SUM(C361)&gt;0.1),"wrong"))))</f>
        <v>ok</v>
      </c>
    </row>
    <row r="361" spans="1:13">
      <c r="A361" s="155"/>
      <c r="B361" s="155" t="s">
        <v>619</v>
      </c>
      <c r="C361" s="105">
        <f>SUMIF('CH&amp;YP Gweithgaredd'!$C$4:$C$99967,"Celf Gyhoeddus",'CH&amp;YP Gweithgaredd'!$AB$4:$AB$99967)</f>
        <v>0</v>
      </c>
      <c r="D361" s="102">
        <f t="shared" si="212"/>
        <v>1</v>
      </c>
      <c r="E361" s="14"/>
      <c r="F361" s="14"/>
      <c r="G361" s="14"/>
      <c r="H361" s="14"/>
      <c r="I361" s="14"/>
      <c r="J361" s="14"/>
      <c r="K361" s="100"/>
      <c r="L361" s="102">
        <f t="shared" si="213"/>
        <v>1</v>
      </c>
      <c r="M361" s="102" t="str">
        <f t="shared" ref="M361" si="249">IF(C360&lt;=C361,"ok","wrong")</f>
        <v>ok</v>
      </c>
    </row>
    <row r="362" spans="1:13" ht="16">
      <c r="A362" s="106" t="s">
        <v>620</v>
      </c>
      <c r="B362" s="155" t="s">
        <v>610</v>
      </c>
      <c r="C362" s="105">
        <f>SUMIF('CH&amp;YP Gweithgaredd'!$C$4:$C$99967,"Cynhyrchu Ffilmiau",'CH&amp;YP Gweithgaredd'!$S$4:$S$99967)</f>
        <v>0</v>
      </c>
      <c r="D362" s="102">
        <f t="shared" si="212"/>
        <v>1</v>
      </c>
      <c r="E362" s="14"/>
      <c r="F362" s="14"/>
      <c r="G362" s="14"/>
      <c r="H362" s="14"/>
      <c r="I362" s="14"/>
      <c r="J362" s="14"/>
      <c r="K362" s="100"/>
      <c r="L362" s="102">
        <f t="shared" si="213"/>
        <v>1</v>
      </c>
      <c r="M362" s="102" t="str">
        <f t="shared" ref="M362" si="250">IF(AND(C362&gt;=0.1,SUM(C363)&gt;=C362),"ok",IF(AND(C362=0,SUM(C363)=0),"ok",IF(AND(C362&gt;0.1,SUM(C363)=0),"wrong",IF(AND(C362=0,SUM(C363)&gt;0.1),"wrong"))))</f>
        <v>ok</v>
      </c>
    </row>
    <row r="363" spans="1:13">
      <c r="A363" s="155"/>
      <c r="B363" s="155" t="s">
        <v>611</v>
      </c>
      <c r="C363" s="105">
        <f>SUMIF('CH&amp;YP Gweithgaredd'!$C$4:$C$99967,"Cynhyrchu Ffilmiau",'CH&amp;YP Gweithgaredd'!$X$4:$X$99967)</f>
        <v>0</v>
      </c>
      <c r="D363" s="102">
        <f t="shared" si="212"/>
        <v>1</v>
      </c>
      <c r="E363" s="14"/>
      <c r="F363" s="14"/>
      <c r="G363" s="14"/>
      <c r="H363" s="14"/>
      <c r="I363" s="14"/>
      <c r="J363" s="14"/>
      <c r="K363" s="100"/>
      <c r="L363" s="102">
        <f t="shared" si="213"/>
        <v>1</v>
      </c>
      <c r="M363" s="102" t="str">
        <f t="shared" ref="M363" si="251">IF(C362&lt;=C363,"ok","wrong")</f>
        <v>ok</v>
      </c>
    </row>
    <row r="364" spans="1:13">
      <c r="A364" s="155"/>
      <c r="B364" s="155" t="s">
        <v>612</v>
      </c>
      <c r="C364" s="105">
        <f>SUMIF('CH&amp;YP Gweithgaredd'!$C$4:$C$99967,"Cynhyrchu Ffilmiau",'CH&amp;YP Gweithgaredd'!$T$4:$T$99967)</f>
        <v>0</v>
      </c>
      <c r="D364" s="102">
        <f t="shared" si="212"/>
        <v>1</v>
      </c>
      <c r="E364" s="14"/>
      <c r="F364" s="14"/>
      <c r="G364" s="14"/>
      <c r="H364" s="14"/>
      <c r="I364" s="14"/>
      <c r="J364" s="14"/>
      <c r="K364" s="100"/>
      <c r="L364" s="102">
        <f t="shared" si="213"/>
        <v>1</v>
      </c>
      <c r="M364" s="102" t="str">
        <f t="shared" ref="M364" si="252">IF(AND(C364&gt;=0.1,SUM(C365)&gt;=C364),"ok",IF(AND(C364=0,SUM(C365)=0),"ok",IF(AND(C364&gt;0.1,SUM(C365)=0),"wrong",IF(AND(C364=0,SUM(C365)&gt;0.1),"wrong"))))</f>
        <v>ok</v>
      </c>
    </row>
    <row r="365" spans="1:13">
      <c r="A365" s="155"/>
      <c r="B365" s="155" t="s">
        <v>613</v>
      </c>
      <c r="C365" s="105">
        <f>SUMIF('CH&amp;YP Gweithgaredd'!$C$4:$C$99967,"Cynhyrchu Ffilmiau",'CH&amp;YP Gweithgaredd'!$Y$4:$Y$99967)</f>
        <v>0</v>
      </c>
      <c r="D365" s="102">
        <f t="shared" si="212"/>
        <v>1</v>
      </c>
      <c r="E365" s="14"/>
      <c r="F365" s="14"/>
      <c r="G365" s="14"/>
      <c r="H365" s="14"/>
      <c r="I365" s="14"/>
      <c r="J365" s="14"/>
      <c r="K365" s="100"/>
      <c r="L365" s="102">
        <f t="shared" si="213"/>
        <v>1</v>
      </c>
      <c r="M365" s="102" t="str">
        <f t="shared" ref="M365" si="253">IF(C364&lt;=C365,"ok","wrong")</f>
        <v>ok</v>
      </c>
    </row>
    <row r="366" spans="1:13">
      <c r="A366" s="155"/>
      <c r="B366" s="155" t="s">
        <v>614</v>
      </c>
      <c r="C366" s="105">
        <f>SUMIF('CH&amp;YP Gweithgaredd'!$C$4:$C$99967,"Cynhyrchu Ffilmiau",'CH&amp;YP Gweithgaredd'!$U$4:$U$99967)</f>
        <v>0</v>
      </c>
      <c r="D366" s="102">
        <f t="shared" si="212"/>
        <v>1</v>
      </c>
      <c r="E366" s="14"/>
      <c r="F366" s="14"/>
      <c r="G366" s="14"/>
      <c r="H366" s="14"/>
      <c r="I366" s="14"/>
      <c r="J366" s="14"/>
      <c r="K366" s="100"/>
      <c r="L366" s="102">
        <f t="shared" si="213"/>
        <v>1</v>
      </c>
      <c r="M366" s="102" t="str">
        <f t="shared" ref="M366" si="254">IF(AND(C366&gt;=0.1,SUM(C367)&gt;=C366),"ok",IF(AND(C366=0,SUM(C367)=0),"ok",IF(AND(C366&gt;0.1,SUM(C367)=0),"wrong",IF(AND(C366=0,SUM(C367)&gt;0.1),"wrong"))))</f>
        <v>ok</v>
      </c>
    </row>
    <row r="367" spans="1:13">
      <c r="A367" s="155"/>
      <c r="B367" s="155" t="s">
        <v>615</v>
      </c>
      <c r="C367" s="105">
        <f>SUMIF('CH&amp;YP Gweithgaredd'!$C$4:$C$99967,"Cynhyrchu Ffilmiau",'CH&amp;YP Gweithgaredd'!$Z$4:$Z$99967)</f>
        <v>0</v>
      </c>
      <c r="D367" s="102">
        <f t="shared" si="212"/>
        <v>1</v>
      </c>
      <c r="E367" s="14"/>
      <c r="F367" s="14"/>
      <c r="G367" s="14"/>
      <c r="H367" s="14"/>
      <c r="I367" s="14"/>
      <c r="J367" s="14"/>
      <c r="K367" s="100"/>
      <c r="L367" s="102">
        <f t="shared" si="213"/>
        <v>1</v>
      </c>
      <c r="M367" s="102" t="str">
        <f t="shared" ref="M367" si="255">IF(C366&lt;=C367,"ok","wrong")</f>
        <v>ok</v>
      </c>
    </row>
    <row r="368" spans="1:13">
      <c r="A368" s="155"/>
      <c r="B368" s="155" t="s">
        <v>616</v>
      </c>
      <c r="C368" s="105">
        <f>SUMIF('CH&amp;YP Gweithgaredd'!$C$4:$C$99967,"Cynhyrchu Ffilmiau",'CH&amp;YP Gweithgaredd'!$V$4:$V$99967)</f>
        <v>0</v>
      </c>
      <c r="D368" s="102">
        <f t="shared" si="212"/>
        <v>1</v>
      </c>
      <c r="E368" s="14"/>
      <c r="F368" s="14"/>
      <c r="G368" s="14"/>
      <c r="H368" s="14"/>
      <c r="I368" s="14"/>
      <c r="J368" s="14"/>
      <c r="K368" s="100"/>
      <c r="L368" s="102">
        <f t="shared" si="213"/>
        <v>1</v>
      </c>
      <c r="M368" s="102" t="str">
        <f t="shared" ref="M368" si="256">IF(AND(C368&gt;=0.1,SUM(C369)&gt;=C368),"ok",IF(AND(C368=0,SUM(C369)=0),"ok",IF(AND(C368&gt;0.1,SUM(C369)=0),"wrong",IF(AND(C368=0,SUM(C369)&gt;0.1),"wrong"))))</f>
        <v>ok</v>
      </c>
    </row>
    <row r="369" spans="1:13">
      <c r="A369" s="155"/>
      <c r="B369" s="155" t="s">
        <v>617</v>
      </c>
      <c r="C369" s="105">
        <f>SUMIF('CH&amp;YP Gweithgaredd'!$C$4:$C$99967,"Cynhyrchu Ffilmiau",'CH&amp;YP Gweithgaredd'!$AA$4:$AA$99967)</f>
        <v>0</v>
      </c>
      <c r="D369" s="102">
        <f t="shared" si="212"/>
        <v>1</v>
      </c>
      <c r="E369" s="14"/>
      <c r="F369" s="14"/>
      <c r="G369" s="14"/>
      <c r="H369" s="14"/>
      <c r="I369" s="14"/>
      <c r="J369" s="14"/>
      <c r="K369" s="100"/>
      <c r="L369" s="102">
        <f t="shared" si="213"/>
        <v>1</v>
      </c>
      <c r="M369" s="102" t="str">
        <f t="shared" ref="M369" si="257">IF(C368&lt;=C369,"ok","wrong")</f>
        <v>ok</v>
      </c>
    </row>
    <row r="370" spans="1:13">
      <c r="A370" s="155"/>
      <c r="B370" s="155" t="s">
        <v>618</v>
      </c>
      <c r="C370" s="105">
        <f>SUMIF('CH&amp;YP Gweithgaredd'!$C$4:$C$99967,"Cynhyrchu Ffilmiau",'CH&amp;YP Gweithgaredd'!$W$4:$W$99967)</f>
        <v>0</v>
      </c>
      <c r="D370" s="102">
        <f t="shared" si="212"/>
        <v>1</v>
      </c>
      <c r="E370" s="14"/>
      <c r="F370" s="14"/>
      <c r="G370" s="14"/>
      <c r="H370" s="14"/>
      <c r="I370" s="14"/>
      <c r="J370" s="14"/>
      <c r="K370" s="100"/>
      <c r="L370" s="102">
        <f t="shared" si="213"/>
        <v>1</v>
      </c>
      <c r="M370" s="102" t="str">
        <f t="shared" ref="M370" si="258">IF(AND(C370&gt;=0.1,SUM(C371)&gt;=C370),"ok",IF(AND(C370=0,SUM(C371)=0),"ok",IF(AND(C370&gt;0.1,SUM(C371)=0),"wrong",IF(AND(C370=0,SUM(C371)&gt;0.1),"wrong"))))</f>
        <v>ok</v>
      </c>
    </row>
    <row r="371" spans="1:13">
      <c r="A371" s="155"/>
      <c r="B371" s="155" t="s">
        <v>619</v>
      </c>
      <c r="C371" s="105">
        <f>SUMIF('CH&amp;YP Gweithgaredd'!$C$4:$C$99967,"Cynhyrchu Ffilmiau",'CH&amp;YP Gweithgaredd'!$AB$4:$AB$99967)</f>
        <v>0</v>
      </c>
      <c r="D371" s="102">
        <f t="shared" si="212"/>
        <v>1</v>
      </c>
      <c r="E371" s="14"/>
      <c r="F371" s="14"/>
      <c r="G371" s="14"/>
      <c r="H371" s="14"/>
      <c r="I371" s="14"/>
      <c r="J371" s="14"/>
      <c r="K371" s="100"/>
      <c r="L371" s="102">
        <f t="shared" si="213"/>
        <v>1</v>
      </c>
      <c r="M371" s="102" t="str">
        <f t="shared" ref="M371" si="259">IF(C370&lt;=C371,"ok","wrong")</f>
        <v>ok</v>
      </c>
    </row>
    <row r="372" spans="1:13" ht="16">
      <c r="A372" s="106" t="s">
        <v>170</v>
      </c>
      <c r="B372" s="155" t="s">
        <v>610</v>
      </c>
      <c r="C372" s="105">
        <f>SUMIF('CH&amp;YP Gweithgaredd'!$C$4:$C$99967,"Arall",'CH&amp;YP Gweithgaredd'!$S$4:$S$99967)</f>
        <v>0</v>
      </c>
      <c r="D372" s="102">
        <f t="shared" si="212"/>
        <v>1</v>
      </c>
      <c r="E372" s="14"/>
      <c r="F372" s="14"/>
      <c r="G372" s="14"/>
      <c r="H372" s="14"/>
      <c r="I372" s="14"/>
      <c r="J372" s="14"/>
      <c r="K372" s="100"/>
      <c r="L372" s="102">
        <f t="shared" si="213"/>
        <v>1</v>
      </c>
      <c r="M372" s="102" t="str">
        <f t="shared" ref="M372" si="260">IF(AND(C372&gt;=0.1,SUM(C373)&gt;=C372),"ok",IF(AND(C372=0,SUM(C373)=0),"ok",IF(AND(C372&gt;0.1,SUM(C373)=0),"wrong",IF(AND(C372=0,SUM(C373)&gt;0.1),"wrong"))))</f>
        <v>ok</v>
      </c>
    </row>
    <row r="373" spans="1:13">
      <c r="A373" s="155"/>
      <c r="B373" s="155" t="s">
        <v>611</v>
      </c>
      <c r="C373" s="105">
        <f>SUMIF('CH&amp;YP Gweithgaredd'!$C$4:$C$99967,"Arall",'CH&amp;YP Gweithgaredd'!$X$4:$X$99967)</f>
        <v>0</v>
      </c>
      <c r="D373" s="102">
        <f t="shared" si="212"/>
        <v>1</v>
      </c>
      <c r="E373" s="14"/>
      <c r="F373" s="14"/>
      <c r="G373" s="14"/>
      <c r="H373" s="14"/>
      <c r="I373" s="14"/>
      <c r="J373" s="14"/>
      <c r="K373" s="100"/>
      <c r="L373" s="102">
        <f t="shared" si="213"/>
        <v>1</v>
      </c>
      <c r="M373" s="102" t="str">
        <f t="shared" ref="M373" si="261">IF(C372&lt;=C373,"ok","wrong")</f>
        <v>ok</v>
      </c>
    </row>
    <row r="374" spans="1:13">
      <c r="A374" s="155"/>
      <c r="B374" s="155" t="s">
        <v>612</v>
      </c>
      <c r="C374" s="105">
        <f>SUMIF('CH&amp;YP Gweithgaredd'!$C$4:$C$99967,"Arall",'CH&amp;YP Gweithgaredd'!$T$4:$T$99967)</f>
        <v>0</v>
      </c>
      <c r="D374" s="102">
        <f t="shared" si="212"/>
        <v>1</v>
      </c>
      <c r="E374" s="14"/>
      <c r="F374" s="14"/>
      <c r="G374" s="14"/>
      <c r="H374" s="14"/>
      <c r="I374" s="14"/>
      <c r="J374" s="14"/>
      <c r="K374" s="100"/>
      <c r="L374" s="102">
        <f t="shared" si="213"/>
        <v>1</v>
      </c>
      <c r="M374" s="102" t="str">
        <f t="shared" ref="M374" si="262">IF(AND(C374&gt;=0.1,SUM(C375)&gt;=C374),"ok",IF(AND(C374=0,SUM(C375)=0),"ok",IF(AND(C374&gt;0.1,SUM(C375)=0),"wrong",IF(AND(C374=0,SUM(C375)&gt;0.1),"wrong"))))</f>
        <v>ok</v>
      </c>
    </row>
    <row r="375" spans="1:13">
      <c r="A375" s="155"/>
      <c r="B375" s="155" t="s">
        <v>613</v>
      </c>
      <c r="C375" s="105">
        <f>SUMIF('CH&amp;YP Gweithgaredd'!$C$4:$C$99967,"Arall",'CH&amp;YP Gweithgaredd'!$Y$4:$Y$99967)</f>
        <v>0</v>
      </c>
      <c r="D375" s="102">
        <f t="shared" si="212"/>
        <v>1</v>
      </c>
      <c r="E375" s="14"/>
      <c r="F375" s="14"/>
      <c r="G375" s="14"/>
      <c r="H375" s="14"/>
      <c r="I375" s="14"/>
      <c r="J375" s="14"/>
      <c r="K375" s="100"/>
      <c r="L375" s="102">
        <f t="shared" si="213"/>
        <v>1</v>
      </c>
      <c r="M375" s="102" t="str">
        <f t="shared" ref="M375" si="263">IF(C374&lt;=C375,"ok","wrong")</f>
        <v>ok</v>
      </c>
    </row>
    <row r="376" spans="1:13">
      <c r="A376" s="155"/>
      <c r="B376" s="155" t="s">
        <v>614</v>
      </c>
      <c r="C376" s="105">
        <f>SUMIF('CH&amp;YP Gweithgaredd'!$C$4:$C$99967,"Arall",'CH&amp;YP Gweithgaredd'!$U$4:$U$99967)</f>
        <v>0</v>
      </c>
      <c r="D376" s="102">
        <f t="shared" si="212"/>
        <v>1</v>
      </c>
      <c r="E376" s="14"/>
      <c r="F376" s="14"/>
      <c r="G376" s="14"/>
      <c r="H376" s="14"/>
      <c r="I376" s="14"/>
      <c r="J376" s="14"/>
      <c r="K376" s="100"/>
      <c r="L376" s="102">
        <f t="shared" si="213"/>
        <v>1</v>
      </c>
      <c r="M376" s="102" t="str">
        <f t="shared" ref="M376" si="264">IF(AND(C376&gt;=0.1,SUM(C377)&gt;=C376),"ok",IF(AND(C376=0,SUM(C377)=0),"ok",IF(AND(C376&gt;0.1,SUM(C377)=0),"wrong",IF(AND(C376=0,SUM(C377)&gt;0.1),"wrong"))))</f>
        <v>ok</v>
      </c>
    </row>
    <row r="377" spans="1:13">
      <c r="A377" s="155"/>
      <c r="B377" s="155" t="s">
        <v>615</v>
      </c>
      <c r="C377" s="105">
        <f>SUMIF('CH&amp;YP Gweithgaredd'!$C$4:$C$99967,"Arall",'CH&amp;YP Gweithgaredd'!$Z$4:$Z$99967)</f>
        <v>0</v>
      </c>
      <c r="D377" s="102">
        <f t="shared" si="212"/>
        <v>1</v>
      </c>
      <c r="E377" s="14"/>
      <c r="F377" s="14"/>
      <c r="G377" s="14"/>
      <c r="H377" s="14"/>
      <c r="I377" s="14"/>
      <c r="J377" s="14"/>
      <c r="K377" s="100"/>
      <c r="L377" s="102">
        <f t="shared" si="213"/>
        <v>1</v>
      </c>
      <c r="M377" s="102" t="str">
        <f t="shared" ref="M377" si="265">IF(C376&lt;=C377,"ok","wrong")</f>
        <v>ok</v>
      </c>
    </row>
    <row r="378" spans="1:13">
      <c r="A378" s="155"/>
      <c r="B378" s="155" t="s">
        <v>616</v>
      </c>
      <c r="C378" s="105">
        <f>SUMIF('CH&amp;YP Gweithgaredd'!$C$4:$C$99967,"Arall",'CH&amp;YP Gweithgaredd'!$V$4:$V$99967)</f>
        <v>0</v>
      </c>
      <c r="D378" s="102">
        <f t="shared" si="212"/>
        <v>1</v>
      </c>
      <c r="E378" s="14"/>
      <c r="F378" s="14"/>
      <c r="G378" s="14"/>
      <c r="H378" s="14"/>
      <c r="I378" s="14"/>
      <c r="J378" s="14"/>
      <c r="K378" s="100"/>
      <c r="L378" s="102">
        <f t="shared" si="213"/>
        <v>1</v>
      </c>
      <c r="M378" s="102" t="str">
        <f t="shared" ref="M378" si="266">IF(AND(C378&gt;=0.1,SUM(C379)&gt;=C378),"ok",IF(AND(C378=0,SUM(C379)=0),"ok",IF(AND(C378&gt;0.1,SUM(C379)=0),"wrong",IF(AND(C378=0,SUM(C379)&gt;0.1),"wrong"))))</f>
        <v>ok</v>
      </c>
    </row>
    <row r="379" spans="1:13">
      <c r="A379" s="155"/>
      <c r="B379" s="155" t="s">
        <v>617</v>
      </c>
      <c r="C379" s="105">
        <f>SUMIF('CH&amp;YP Gweithgaredd'!$C$4:$C$99967,"Arall",'CH&amp;YP Gweithgaredd'!$AA$4:$AA$99967)</f>
        <v>0</v>
      </c>
      <c r="D379" s="102">
        <f t="shared" si="212"/>
        <v>1</v>
      </c>
      <c r="E379" s="14"/>
      <c r="F379" s="14"/>
      <c r="G379" s="14"/>
      <c r="H379" s="14"/>
      <c r="I379" s="14"/>
      <c r="J379" s="14"/>
      <c r="K379" s="100"/>
      <c r="L379" s="102">
        <f t="shared" si="213"/>
        <v>1</v>
      </c>
      <c r="M379" s="102" t="str">
        <f t="shared" ref="M379" si="267">IF(C378&lt;=C379,"ok","wrong")</f>
        <v>ok</v>
      </c>
    </row>
    <row r="380" spans="1:13">
      <c r="A380" s="155"/>
      <c r="B380" s="155" t="s">
        <v>618</v>
      </c>
      <c r="C380" s="105">
        <f>SUMIF('CH&amp;YP Gweithgaredd'!$C$4:$C$99967,"Arall",'CH&amp;YP Gweithgaredd'!$W$4:$W$99967)</f>
        <v>0</v>
      </c>
      <c r="D380" s="102">
        <f t="shared" si="212"/>
        <v>1</v>
      </c>
      <c r="E380" s="14"/>
      <c r="F380" s="14"/>
      <c r="G380" s="14"/>
      <c r="H380" s="14"/>
      <c r="I380" s="14"/>
      <c r="J380" s="14"/>
      <c r="K380" s="100"/>
      <c r="L380" s="102">
        <f t="shared" si="213"/>
        <v>1</v>
      </c>
      <c r="M380" s="102" t="str">
        <f t="shared" ref="M380" si="268">IF(AND(C380&gt;=0.1,SUM(C381)&gt;=C380),"ok",IF(AND(C380=0,SUM(C381)=0),"ok",IF(AND(C380&gt;0.1,SUM(C381)=0),"wrong",IF(AND(C380=0,SUM(C381)&gt;0.1),"wrong"))))</f>
        <v>ok</v>
      </c>
    </row>
    <row r="381" spans="1:13">
      <c r="A381" s="155"/>
      <c r="B381" s="155" t="s">
        <v>619</v>
      </c>
      <c r="C381" s="105">
        <f>SUMIF('CH&amp;YP Gweithgaredd'!$C$4:$C$99967,"Arall",'CH&amp;YP Gweithgaredd'!$AB$4:$AB$99967)</f>
        <v>0</v>
      </c>
      <c r="D381" s="102">
        <f t="shared" si="212"/>
        <v>1</v>
      </c>
      <c r="E381" s="14"/>
      <c r="F381" s="14"/>
      <c r="G381" s="14"/>
      <c r="H381" s="14"/>
      <c r="I381" s="14"/>
      <c r="J381" s="14"/>
      <c r="K381" s="100"/>
      <c r="L381" s="102">
        <f t="shared" si="213"/>
        <v>1</v>
      </c>
      <c r="M381" s="102" t="str">
        <f t="shared" ref="M381" si="269">IF(C380&lt;=C381,"ok","wrong")</f>
        <v>ok</v>
      </c>
    </row>
    <row r="382" spans="1:13" ht="29">
      <c r="A382" s="107" t="s">
        <v>626</v>
      </c>
      <c r="B382" s="108" t="s">
        <v>125</v>
      </c>
      <c r="C382" s="105">
        <f>COUNTIF('CH&amp;YP Gweithgaredd'!$AD$4:$AD$99967,"Do")</f>
        <v>0</v>
      </c>
      <c r="D382" s="14"/>
      <c r="E382" s="14"/>
      <c r="F382" s="14"/>
      <c r="G382" s="14"/>
      <c r="H382" s="14"/>
      <c r="I382" s="14"/>
      <c r="J382" s="14"/>
      <c r="K382" s="100"/>
      <c r="L382" s="102"/>
      <c r="M382" s="102"/>
    </row>
    <row r="383" spans="1:13">
      <c r="A383" s="155"/>
      <c r="B383" s="108" t="s">
        <v>126</v>
      </c>
      <c r="C383" s="105">
        <f>COUNTIF('CH&amp;YP Gweithgaredd'!$AE$4:$AE$99967,"Do")</f>
        <v>0</v>
      </c>
      <c r="D383" s="14"/>
      <c r="E383" s="14"/>
      <c r="F383" s="14"/>
      <c r="G383" s="14"/>
      <c r="H383" s="14"/>
      <c r="I383" s="14"/>
      <c r="J383" s="14"/>
      <c r="K383" s="100"/>
      <c r="L383" s="102"/>
      <c r="M383" s="102"/>
    </row>
    <row r="384" spans="1:13">
      <c r="A384" s="155"/>
      <c r="B384" s="108" t="s">
        <v>127</v>
      </c>
      <c r="C384" s="105">
        <f>COUNTIF('CH&amp;YP Gweithgaredd'!$AF$4:$AF$99967,"Do")</f>
        <v>0</v>
      </c>
      <c r="D384" s="14"/>
      <c r="E384" s="14"/>
      <c r="F384" s="14"/>
      <c r="G384" s="14"/>
      <c r="H384" s="14"/>
      <c r="I384" s="14"/>
      <c r="J384" s="14"/>
      <c r="K384" s="100"/>
      <c r="L384" s="102"/>
      <c r="M384" s="102"/>
    </row>
    <row r="385" spans="1:13">
      <c r="A385" s="155"/>
      <c r="B385" s="108" t="s">
        <v>128</v>
      </c>
      <c r="C385" s="105">
        <f>COUNTIF('CH&amp;YP Gweithgaredd'!$AG$4:$AG$99967,"Do")</f>
        <v>0</v>
      </c>
      <c r="D385" s="14"/>
      <c r="E385" s="14"/>
      <c r="F385" s="14"/>
      <c r="G385" s="14"/>
      <c r="H385" s="14"/>
      <c r="I385" s="14"/>
      <c r="J385" s="14"/>
      <c r="K385" s="100"/>
      <c r="L385" s="102"/>
      <c r="M385" s="102"/>
    </row>
    <row r="386" spans="1:13">
      <c r="A386" s="175" t="s">
        <v>627</v>
      </c>
      <c r="B386" s="175"/>
      <c r="C386" s="175"/>
      <c r="D386" s="14"/>
      <c r="E386" s="14"/>
      <c r="F386" s="14"/>
      <c r="G386" s="14"/>
      <c r="H386" s="14"/>
      <c r="I386" s="14"/>
      <c r="J386" s="14"/>
      <c r="K386" s="100"/>
      <c r="L386" s="102"/>
      <c r="M386" s="102"/>
    </row>
    <row r="387" spans="1:13" ht="16">
      <c r="A387" s="155" t="s">
        <v>369</v>
      </c>
      <c r="B387" s="155" t="s">
        <v>610</v>
      </c>
      <c r="C387" s="109">
        <f>SUMIF('CH&amp;YP Gweithgaredd'!$AH$4:$AH$99967,"Theatr Ieuenctid",'CH&amp;YP Gweithgaredd'!$AI$4:$AI$99967)</f>
        <v>0</v>
      </c>
      <c r="D387" s="102">
        <f t="shared" ref="D387:D428" si="270">L387</f>
        <v>1</v>
      </c>
      <c r="E387" s="14"/>
      <c r="F387" s="14"/>
      <c r="G387" s="14"/>
      <c r="H387" s="14"/>
      <c r="I387" s="14"/>
      <c r="J387" s="14"/>
      <c r="K387" s="100"/>
      <c r="L387" s="102">
        <f t="shared" ref="L387:L428" si="271">IF(M387="ok",1,0)</f>
        <v>1</v>
      </c>
      <c r="M387" s="102" t="str">
        <f t="shared" ref="M387" si="272">IF(AND(C387&gt;=0.1,SUM(C388)&gt;=C387),"ok",IF(AND(C387=0,SUM(C388)=0),"ok",IF(AND(C387&gt;0.1,SUM(C388)=0),"wrong",IF(AND(C387=0,SUM(C388)&gt;0.1),"wrong"))))</f>
        <v>ok</v>
      </c>
    </row>
    <row r="388" spans="1:13" ht="16">
      <c r="A388" s="155"/>
      <c r="B388" s="155" t="s">
        <v>611</v>
      </c>
      <c r="C388" s="109">
        <f>SUMIF('CH&amp;YP Gweithgaredd'!$AH$4:$AH$99967,"Theatr Ieuenctid",'CH&amp;YP Gweithgaredd'!$AN$4:$AN$99967)</f>
        <v>0</v>
      </c>
      <c r="D388" s="102">
        <f t="shared" si="270"/>
        <v>1</v>
      </c>
      <c r="E388" s="14"/>
      <c r="F388" s="14"/>
      <c r="G388" s="14"/>
      <c r="H388" s="14"/>
      <c r="I388" s="14"/>
      <c r="J388" s="14"/>
      <c r="K388" s="100"/>
      <c r="L388" s="102">
        <f t="shared" si="271"/>
        <v>1</v>
      </c>
      <c r="M388" s="102" t="str">
        <f t="shared" ref="M388" si="273">IF(C387&lt;=C388,"ok","wrong")</f>
        <v>ok</v>
      </c>
    </row>
    <row r="389" spans="1:13" ht="16">
      <c r="A389" s="155"/>
      <c r="B389" s="155" t="s">
        <v>612</v>
      </c>
      <c r="C389" s="109">
        <f>SUMIF('CH&amp;YP Gweithgaredd'!$AH$4:$AH$99967,"Theatr Ieuenctid",'CH&amp;YP Gweithgaredd'!$AJ$4:$AJ$99967)</f>
        <v>0</v>
      </c>
      <c r="D389" s="102">
        <f t="shared" si="270"/>
        <v>1</v>
      </c>
      <c r="E389" s="14"/>
      <c r="F389" s="14"/>
      <c r="G389" s="14"/>
      <c r="H389" s="14"/>
      <c r="I389" s="14"/>
      <c r="J389" s="14"/>
      <c r="K389" s="100"/>
      <c r="L389" s="102">
        <f t="shared" si="271"/>
        <v>1</v>
      </c>
      <c r="M389" s="102" t="str">
        <f t="shared" ref="M389" si="274">IF(AND(C389&gt;=0.1,SUM(C390)&gt;=C389),"ok",IF(AND(C389=0,SUM(C390)=0),"ok",IF(AND(C389&gt;0.1,SUM(C390)=0),"wrong",IF(AND(C389=0,SUM(C390)&gt;0.1),"wrong"))))</f>
        <v>ok</v>
      </c>
    </row>
    <row r="390" spans="1:13" ht="16">
      <c r="A390" s="155"/>
      <c r="B390" s="155" t="s">
        <v>613</v>
      </c>
      <c r="C390" s="109">
        <f>SUMIF('CH&amp;YP Gweithgaredd'!$AH$4:$AH$99967,"Theatr Ieuenctid",'CH&amp;YP Gweithgaredd'!$AO$4:$AO$99967)</f>
        <v>0</v>
      </c>
      <c r="D390" s="102">
        <f t="shared" si="270"/>
        <v>1</v>
      </c>
      <c r="E390" s="14"/>
      <c r="F390" s="14"/>
      <c r="G390" s="14"/>
      <c r="H390" s="14"/>
      <c r="I390" s="14"/>
      <c r="J390" s="14"/>
      <c r="K390" s="100"/>
      <c r="L390" s="102">
        <f t="shared" si="271"/>
        <v>1</v>
      </c>
      <c r="M390" s="102" t="str">
        <f t="shared" ref="M390" si="275">IF(C389&lt;=C390,"ok","wrong")</f>
        <v>ok</v>
      </c>
    </row>
    <row r="391" spans="1:13" ht="16">
      <c r="A391" s="155"/>
      <c r="B391" s="155" t="s">
        <v>614</v>
      </c>
      <c r="C391" s="109">
        <f>SUMIF('CH&amp;YP Gweithgaredd'!$AH$4:$AH$99967,"Theatr Ieuenctid",'CH&amp;YP Gweithgaredd'!$AK$4:$AK$99967)</f>
        <v>0</v>
      </c>
      <c r="D391" s="102">
        <f t="shared" si="270"/>
        <v>1</v>
      </c>
      <c r="E391" s="14"/>
      <c r="F391" s="14"/>
      <c r="G391" s="14"/>
      <c r="H391" s="14"/>
      <c r="I391" s="14"/>
      <c r="J391" s="14"/>
      <c r="K391" s="100"/>
      <c r="L391" s="102">
        <f t="shared" si="271"/>
        <v>1</v>
      </c>
      <c r="M391" s="102" t="str">
        <f t="shared" ref="M391" si="276">IF(AND(C391&gt;=0.1,SUM(C392)&gt;=C391),"ok",IF(AND(C391=0,SUM(C392)=0),"ok",IF(AND(C391&gt;0.1,SUM(C392)=0),"wrong",IF(AND(C391=0,SUM(C392)&gt;0.1),"wrong"))))</f>
        <v>ok</v>
      </c>
    </row>
    <row r="392" spans="1:13" ht="16">
      <c r="A392" s="155"/>
      <c r="B392" s="155" t="s">
        <v>615</v>
      </c>
      <c r="C392" s="109">
        <f>SUMIF('CH&amp;YP Gweithgaredd'!$AH$4:$AH$99967,"Theatr Ieuenctid",'CH&amp;YP Gweithgaredd'!$AP$4:$AP$99967)</f>
        <v>0</v>
      </c>
      <c r="D392" s="102">
        <f t="shared" si="270"/>
        <v>1</v>
      </c>
      <c r="E392" s="14"/>
      <c r="F392" s="14"/>
      <c r="G392" s="14"/>
      <c r="H392" s="14"/>
      <c r="I392" s="14"/>
      <c r="J392" s="14"/>
      <c r="K392" s="100"/>
      <c r="L392" s="102">
        <f t="shared" si="271"/>
        <v>1</v>
      </c>
      <c r="M392" s="102" t="str">
        <f t="shared" ref="M392" si="277">IF(C391&lt;=C392,"ok","wrong")</f>
        <v>ok</v>
      </c>
    </row>
    <row r="393" spans="1:13" ht="16">
      <c r="A393" s="155"/>
      <c r="B393" s="155" t="s">
        <v>616</v>
      </c>
      <c r="C393" s="109">
        <f>SUMIF('CH&amp;YP Gweithgaredd'!$AH$4:$AH$99967,"Theatr Ieuenctid",'CH&amp;YP Gweithgaredd'!$AL$4:$AL$99967)</f>
        <v>0</v>
      </c>
      <c r="D393" s="102">
        <f t="shared" si="270"/>
        <v>1</v>
      </c>
      <c r="E393" s="14"/>
      <c r="F393" s="14"/>
      <c r="G393" s="14"/>
      <c r="H393" s="14"/>
      <c r="I393" s="14"/>
      <c r="J393" s="14"/>
      <c r="K393" s="100"/>
      <c r="L393" s="102">
        <f t="shared" si="271"/>
        <v>1</v>
      </c>
      <c r="M393" s="102" t="str">
        <f t="shared" ref="M393" si="278">IF(AND(C393&gt;=0.1,SUM(C394)&gt;=C393),"ok",IF(AND(C393=0,SUM(C394)=0),"ok",IF(AND(C393&gt;0.1,SUM(C394)=0),"wrong",IF(AND(C393=0,SUM(C394)&gt;0.1),"wrong"))))</f>
        <v>ok</v>
      </c>
    </row>
    <row r="394" spans="1:13" ht="16">
      <c r="A394" s="155"/>
      <c r="B394" s="155" t="s">
        <v>617</v>
      </c>
      <c r="C394" s="109">
        <f>SUMIF('CH&amp;YP Gweithgaredd'!$AH$4:$AH$99967,"Theatr Ieuenctid",'CH&amp;YP Gweithgaredd'!$AQ$4:$AQ$99967)</f>
        <v>0</v>
      </c>
      <c r="D394" s="102">
        <f t="shared" si="270"/>
        <v>1</v>
      </c>
      <c r="E394" s="14"/>
      <c r="F394" s="14"/>
      <c r="G394" s="14"/>
      <c r="H394" s="14"/>
      <c r="I394" s="14"/>
      <c r="J394" s="14"/>
      <c r="K394" s="100"/>
      <c r="L394" s="102">
        <f t="shared" si="271"/>
        <v>1</v>
      </c>
      <c r="M394" s="102" t="str">
        <f t="shared" ref="M394" si="279">IF(C393&lt;=C394,"ok","wrong")</f>
        <v>ok</v>
      </c>
    </row>
    <row r="395" spans="1:13" ht="16">
      <c r="A395" s="155"/>
      <c r="B395" s="155" t="s">
        <v>618</v>
      </c>
      <c r="C395" s="109">
        <f>SUMIF('CH&amp;YP Gweithgaredd'!$AH$4:$AH$99967,"Theatr Ieuenctid",'CH&amp;YP Gweithgaredd'!$AM$4:$AM$99967)</f>
        <v>0</v>
      </c>
      <c r="D395" s="102">
        <f t="shared" si="270"/>
        <v>1</v>
      </c>
      <c r="E395" s="14"/>
      <c r="F395" s="14"/>
      <c r="G395" s="14"/>
      <c r="H395" s="14"/>
      <c r="I395" s="14"/>
      <c r="J395" s="14"/>
      <c r="K395" s="100"/>
      <c r="L395" s="102">
        <f t="shared" si="271"/>
        <v>1</v>
      </c>
      <c r="M395" s="102" t="str">
        <f t="shared" ref="M395" si="280">IF(AND(C395&gt;=0.1,SUM(C396)&gt;=C395),"ok",IF(AND(C395=0,SUM(C396)=0),"ok",IF(AND(C395&gt;0.1,SUM(C396)=0),"wrong",IF(AND(C395=0,SUM(C396)&gt;0.1),"wrong"))))</f>
        <v>ok</v>
      </c>
    </row>
    <row r="396" spans="1:13" ht="16">
      <c r="A396" s="155"/>
      <c r="B396" s="155" t="s">
        <v>619</v>
      </c>
      <c r="C396" s="109">
        <f>SUMIF('CH&amp;YP Gweithgaredd'!$AH$4:$AH$99967,"Theatr Ieuenctid",'CH&amp;YP Gweithgaredd'!$AR$4:$AR$99967)</f>
        <v>0</v>
      </c>
      <c r="D396" s="102">
        <f t="shared" si="270"/>
        <v>1</v>
      </c>
      <c r="E396" s="14"/>
      <c r="F396" s="14"/>
      <c r="G396" s="14"/>
      <c r="H396" s="14"/>
      <c r="I396" s="14"/>
      <c r="J396" s="14"/>
      <c r="K396" s="100"/>
      <c r="L396" s="102">
        <f t="shared" si="271"/>
        <v>1</v>
      </c>
      <c r="M396" s="102" t="str">
        <f t="shared" ref="M396" si="281">IF(C395&lt;=C396,"ok","wrong")</f>
        <v>ok</v>
      </c>
    </row>
    <row r="397" spans="1:13" ht="16">
      <c r="A397" s="155" t="s">
        <v>372</v>
      </c>
      <c r="B397" s="155" t="s">
        <v>610</v>
      </c>
      <c r="C397" s="109">
        <f>SUMIF('CH&amp;YP Gweithgaredd'!$AH$4:$AH$99967,"Cerddoriaeth Ieuenctid",'CH&amp;YP Gweithgaredd'!$AI$4:$AI$99967)</f>
        <v>0</v>
      </c>
      <c r="D397" s="102">
        <f t="shared" si="270"/>
        <v>1</v>
      </c>
      <c r="E397" s="14"/>
      <c r="F397" s="14"/>
      <c r="G397" s="14"/>
      <c r="H397" s="14"/>
      <c r="I397" s="14"/>
      <c r="J397" s="14"/>
      <c r="K397" s="100"/>
      <c r="L397" s="102">
        <f t="shared" si="271"/>
        <v>1</v>
      </c>
      <c r="M397" s="102" t="str">
        <f t="shared" ref="M397" si="282">IF(AND(C397&gt;=0.1,SUM(C398)&gt;=C397),"ok",IF(AND(C397=0,SUM(C398)=0),"ok",IF(AND(C397&gt;0.1,SUM(C398)=0),"wrong",IF(AND(C397=0,SUM(C398)&gt;0.1),"wrong"))))</f>
        <v>ok</v>
      </c>
    </row>
    <row r="398" spans="1:13" ht="16">
      <c r="A398" s="155"/>
      <c r="B398" s="155" t="s">
        <v>611</v>
      </c>
      <c r="C398" s="109">
        <f>SUMIF('CH&amp;YP Gweithgaredd'!$AH$4:$AH$99967,"Cerddoriaeth Ieuenctid",'CH&amp;YP Gweithgaredd'!$AN$4:$AN$99967)</f>
        <v>0</v>
      </c>
      <c r="D398" s="102">
        <f t="shared" si="270"/>
        <v>1</v>
      </c>
      <c r="E398" s="14"/>
      <c r="F398" s="14"/>
      <c r="G398" s="14"/>
      <c r="H398" s="14"/>
      <c r="I398" s="14"/>
      <c r="J398" s="14"/>
      <c r="K398" s="100"/>
      <c r="L398" s="102">
        <f t="shared" si="271"/>
        <v>1</v>
      </c>
      <c r="M398" s="102" t="str">
        <f t="shared" ref="M398" si="283">IF(C397&lt;=C398,"ok","wrong")</f>
        <v>ok</v>
      </c>
    </row>
    <row r="399" spans="1:13" ht="16">
      <c r="A399" s="155"/>
      <c r="B399" s="155" t="s">
        <v>612</v>
      </c>
      <c r="C399" s="109">
        <f>SUMIF('CH&amp;YP Gweithgaredd'!$AH$4:$AH$99967,"Cerddoriaeth Ieuenctid",'CH&amp;YP Gweithgaredd'!$AJ$4:$AJ$99967)</f>
        <v>0</v>
      </c>
      <c r="D399" s="102">
        <f t="shared" si="270"/>
        <v>1</v>
      </c>
      <c r="E399" s="14"/>
      <c r="F399" s="14"/>
      <c r="G399" s="14"/>
      <c r="H399" s="14"/>
      <c r="I399" s="14"/>
      <c r="J399" s="14"/>
      <c r="K399" s="100"/>
      <c r="L399" s="102">
        <f t="shared" si="271"/>
        <v>1</v>
      </c>
      <c r="M399" s="102" t="str">
        <f t="shared" ref="M399" si="284">IF(AND(C399&gt;=0.1,SUM(C400)&gt;=C399),"ok",IF(AND(C399=0,SUM(C400)=0),"ok",IF(AND(C399&gt;0.1,SUM(C400)=0),"wrong",IF(AND(C399=0,SUM(C400)&gt;0.1),"wrong"))))</f>
        <v>ok</v>
      </c>
    </row>
    <row r="400" spans="1:13" ht="16">
      <c r="A400" s="155"/>
      <c r="B400" s="155" t="s">
        <v>613</v>
      </c>
      <c r="C400" s="109">
        <f>SUMIF('CH&amp;YP Gweithgaredd'!$AH$4:$AH$99967,"Cerddoriaeth Ieuenctid",'CH&amp;YP Gweithgaredd'!$AO$4:$AO$99967)</f>
        <v>0</v>
      </c>
      <c r="D400" s="102">
        <f t="shared" si="270"/>
        <v>1</v>
      </c>
      <c r="E400" s="14"/>
      <c r="F400" s="14"/>
      <c r="G400" s="14"/>
      <c r="H400" s="14"/>
      <c r="I400" s="14"/>
      <c r="J400" s="14"/>
      <c r="K400" s="100"/>
      <c r="L400" s="102">
        <f t="shared" si="271"/>
        <v>1</v>
      </c>
      <c r="M400" s="102" t="str">
        <f t="shared" ref="M400" si="285">IF(C399&lt;=C400,"ok","wrong")</f>
        <v>ok</v>
      </c>
    </row>
    <row r="401" spans="1:13" ht="16">
      <c r="A401" s="155"/>
      <c r="B401" s="155" t="s">
        <v>614</v>
      </c>
      <c r="C401" s="109">
        <f>SUMIF('CH&amp;YP Gweithgaredd'!$AH$4:$AH$99967,"Cerddoriaeth Ieuenctid",'CH&amp;YP Gweithgaredd'!$AK$4:$AK$99967)</f>
        <v>0</v>
      </c>
      <c r="D401" s="102">
        <f t="shared" si="270"/>
        <v>1</v>
      </c>
      <c r="E401" s="14"/>
      <c r="F401" s="14"/>
      <c r="G401" s="14"/>
      <c r="H401" s="14"/>
      <c r="I401" s="14"/>
      <c r="J401" s="14"/>
      <c r="K401" s="100"/>
      <c r="L401" s="102">
        <f t="shared" si="271"/>
        <v>1</v>
      </c>
      <c r="M401" s="102" t="str">
        <f t="shared" ref="M401" si="286">IF(AND(C401&gt;=0.1,SUM(C402)&gt;=C401),"ok",IF(AND(C401=0,SUM(C402)=0),"ok",IF(AND(C401&gt;0.1,SUM(C402)=0),"wrong",IF(AND(C401=0,SUM(C402)&gt;0.1),"wrong"))))</f>
        <v>ok</v>
      </c>
    </row>
    <row r="402" spans="1:13" ht="16">
      <c r="A402" s="155"/>
      <c r="B402" s="155" t="s">
        <v>615</v>
      </c>
      <c r="C402" s="109">
        <f>SUMIF('CH&amp;YP Gweithgaredd'!$AH$4:$AH$99967,"Cerddoriaeth Ieuenctid",'CH&amp;YP Gweithgaredd'!$AP$4:$AP$99967)</f>
        <v>0</v>
      </c>
      <c r="D402" s="102">
        <f t="shared" si="270"/>
        <v>1</v>
      </c>
      <c r="E402" s="14"/>
      <c r="F402" s="14"/>
      <c r="G402" s="14"/>
      <c r="H402" s="14"/>
      <c r="I402" s="14"/>
      <c r="J402" s="14"/>
      <c r="K402" s="100"/>
      <c r="L402" s="102">
        <f t="shared" si="271"/>
        <v>1</v>
      </c>
      <c r="M402" s="102" t="str">
        <f t="shared" ref="M402" si="287">IF(C401&lt;=C402,"ok","wrong")</f>
        <v>ok</v>
      </c>
    </row>
    <row r="403" spans="1:13" ht="16">
      <c r="A403" s="155"/>
      <c r="B403" s="155" t="s">
        <v>616</v>
      </c>
      <c r="C403" s="109">
        <f>SUMIF('CH&amp;YP Gweithgaredd'!$AH$4:$AH$99967,"Cerddoriaeth Ieuenctid",'CH&amp;YP Gweithgaredd'!$AL$4:$AL$99967)</f>
        <v>0</v>
      </c>
      <c r="D403" s="102">
        <f t="shared" si="270"/>
        <v>1</v>
      </c>
      <c r="E403" s="14"/>
      <c r="F403" s="14"/>
      <c r="G403" s="14"/>
      <c r="H403" s="14"/>
      <c r="I403" s="14"/>
      <c r="J403" s="14"/>
      <c r="K403" s="100"/>
      <c r="L403" s="102">
        <f t="shared" si="271"/>
        <v>1</v>
      </c>
      <c r="M403" s="102" t="str">
        <f t="shared" ref="M403" si="288">IF(AND(C403&gt;=0.1,SUM(C404)&gt;=C403),"ok",IF(AND(C403=0,SUM(C404)=0),"ok",IF(AND(C403&gt;0.1,SUM(C404)=0),"wrong",IF(AND(C403=0,SUM(C404)&gt;0.1),"wrong"))))</f>
        <v>ok</v>
      </c>
    </row>
    <row r="404" spans="1:13" ht="16">
      <c r="A404" s="155"/>
      <c r="B404" s="155" t="s">
        <v>617</v>
      </c>
      <c r="C404" s="109">
        <f>SUMIF('CH&amp;YP Gweithgaredd'!$AH$4:$AH$99967,"Cerddoriaeth Ieuenctid",'CH&amp;YP Gweithgaredd'!$AQ$4:$AQ$99967)</f>
        <v>0</v>
      </c>
      <c r="D404" s="102">
        <f t="shared" si="270"/>
        <v>1</v>
      </c>
      <c r="E404" s="14"/>
      <c r="F404" s="14"/>
      <c r="G404" s="14"/>
      <c r="H404" s="14"/>
      <c r="I404" s="14"/>
      <c r="J404" s="14"/>
      <c r="K404" s="100"/>
      <c r="L404" s="102">
        <f t="shared" si="271"/>
        <v>1</v>
      </c>
      <c r="M404" s="102" t="str">
        <f t="shared" ref="M404" si="289">IF(C403&lt;=C404,"ok","wrong")</f>
        <v>ok</v>
      </c>
    </row>
    <row r="405" spans="1:13" ht="16">
      <c r="A405" s="155"/>
      <c r="B405" s="155" t="s">
        <v>618</v>
      </c>
      <c r="C405" s="109">
        <f>SUMIF('CH&amp;YP Gweithgaredd'!$AH$4:$AH$99967,"Cerddoriaeth Ieuenctid",'CH&amp;YP Gweithgaredd'!$AM$4:$AM$99967)</f>
        <v>0</v>
      </c>
      <c r="D405" s="102">
        <f t="shared" si="270"/>
        <v>1</v>
      </c>
      <c r="E405" s="14"/>
      <c r="F405" s="14"/>
      <c r="G405" s="14"/>
      <c r="H405" s="14"/>
      <c r="I405" s="14"/>
      <c r="J405" s="14"/>
      <c r="K405" s="100"/>
      <c r="L405" s="102">
        <f t="shared" si="271"/>
        <v>1</v>
      </c>
      <c r="M405" s="102" t="str">
        <f t="shared" ref="M405" si="290">IF(AND(C405&gt;=0.1,SUM(C406)&gt;=C405),"ok",IF(AND(C405=0,SUM(C406)=0),"ok",IF(AND(C405&gt;0.1,SUM(C406)=0),"wrong",IF(AND(C405=0,SUM(C406)&gt;0.1),"wrong"))))</f>
        <v>ok</v>
      </c>
    </row>
    <row r="406" spans="1:13" ht="16">
      <c r="A406" s="155"/>
      <c r="B406" s="155" t="s">
        <v>619</v>
      </c>
      <c r="C406" s="109">
        <f>SUMIF('CH&amp;YP Gweithgaredd'!$AH$4:$AH$99967,"Cerddoriaeth Ieuenctid",'CH&amp;YP Gweithgaredd'!$AR$4:$AR$99967)</f>
        <v>0</v>
      </c>
      <c r="D406" s="102">
        <f t="shared" si="270"/>
        <v>1</v>
      </c>
      <c r="E406" s="14"/>
      <c r="F406" s="14"/>
      <c r="G406" s="14"/>
      <c r="H406" s="14"/>
      <c r="I406" s="14"/>
      <c r="J406" s="14"/>
      <c r="K406" s="100"/>
      <c r="L406" s="102">
        <f t="shared" si="271"/>
        <v>1</v>
      </c>
      <c r="M406" s="102" t="str">
        <f t="shared" ref="M406" si="291">IF(C405&lt;=C406,"ok","wrong")</f>
        <v>ok</v>
      </c>
    </row>
    <row r="407" spans="1:13" ht="16">
      <c r="A407" s="155" t="s">
        <v>375</v>
      </c>
      <c r="B407" s="155" t="s">
        <v>610</v>
      </c>
      <c r="C407" s="109">
        <f>SUMIF('CH&amp;YP Gweithgaredd'!$AH$4:$AH$99967,"Dawns Ieuenctid",'CH&amp;YP Gweithgaredd'!$AI$4:$AI$99967)</f>
        <v>0</v>
      </c>
      <c r="D407" s="102">
        <f t="shared" si="270"/>
        <v>1</v>
      </c>
      <c r="E407" s="14"/>
      <c r="F407" s="14"/>
      <c r="G407" s="14"/>
      <c r="H407" s="14"/>
      <c r="I407" s="14"/>
      <c r="J407" s="14"/>
      <c r="K407" s="100"/>
      <c r="L407" s="102">
        <f t="shared" si="271"/>
        <v>1</v>
      </c>
      <c r="M407" s="102" t="str">
        <f t="shared" ref="M407" si="292">IF(AND(C407&gt;=0.1,SUM(C408)&gt;=C407),"ok",IF(AND(C407=0,SUM(C408)=0),"ok",IF(AND(C407&gt;0.1,SUM(C408)=0),"wrong",IF(AND(C407=0,SUM(C408)&gt;0.1),"wrong"))))</f>
        <v>ok</v>
      </c>
    </row>
    <row r="408" spans="1:13" ht="16">
      <c r="A408" s="155"/>
      <c r="B408" s="155" t="s">
        <v>611</v>
      </c>
      <c r="C408" s="109">
        <f>SUMIF('CH&amp;YP Gweithgaredd'!$AH$4:$AH$99967,"Dawns Ieuenctid",'CH&amp;YP Gweithgaredd'!$AN$4:$AN$99967)</f>
        <v>0</v>
      </c>
      <c r="D408" s="102">
        <f t="shared" si="270"/>
        <v>1</v>
      </c>
      <c r="E408" s="14"/>
      <c r="F408" s="14"/>
      <c r="G408" s="14"/>
      <c r="H408" s="14"/>
      <c r="I408" s="14"/>
      <c r="J408" s="14"/>
      <c r="K408" s="100"/>
      <c r="L408" s="102">
        <f t="shared" si="271"/>
        <v>1</v>
      </c>
      <c r="M408" s="102" t="str">
        <f t="shared" ref="M408" si="293">IF(C407&lt;=C408,"ok","wrong")</f>
        <v>ok</v>
      </c>
    </row>
    <row r="409" spans="1:13" ht="16">
      <c r="A409" s="155"/>
      <c r="B409" s="155" t="s">
        <v>612</v>
      </c>
      <c r="C409" s="109">
        <f>SUMIF('CH&amp;YP Gweithgaredd'!$AH$4:$AH$99967,"Dawns Ieuenctid",'CH&amp;YP Gweithgaredd'!$AJ$4:$AJ$99967)</f>
        <v>0</v>
      </c>
      <c r="D409" s="102">
        <f t="shared" si="270"/>
        <v>1</v>
      </c>
      <c r="E409" s="14"/>
      <c r="F409" s="14"/>
      <c r="G409" s="14"/>
      <c r="H409" s="14"/>
      <c r="I409" s="14"/>
      <c r="J409" s="14"/>
      <c r="K409" s="100"/>
      <c r="L409" s="102">
        <f t="shared" si="271"/>
        <v>1</v>
      </c>
      <c r="M409" s="102" t="str">
        <f t="shared" ref="M409" si="294">IF(AND(C409&gt;=0.1,SUM(C410)&gt;=C409),"ok",IF(AND(C409=0,SUM(C410)=0),"ok",IF(AND(C409&gt;0.1,SUM(C410)=0),"wrong",IF(AND(C409=0,SUM(C410)&gt;0.1),"wrong"))))</f>
        <v>ok</v>
      </c>
    </row>
    <row r="410" spans="1:13" ht="16">
      <c r="A410" s="155"/>
      <c r="B410" s="155" t="s">
        <v>613</v>
      </c>
      <c r="C410" s="109">
        <f>SUMIF('CH&amp;YP Gweithgaredd'!$AH$4:$AH$99967,"Dawns Ieuenctid",'CH&amp;YP Gweithgaredd'!$AO$4:$AO$99967)</f>
        <v>0</v>
      </c>
      <c r="D410" s="102">
        <f t="shared" si="270"/>
        <v>1</v>
      </c>
      <c r="E410" s="14"/>
      <c r="F410" s="14"/>
      <c r="G410" s="14"/>
      <c r="H410" s="14"/>
      <c r="I410" s="14"/>
      <c r="J410" s="14"/>
      <c r="K410" s="100"/>
      <c r="L410" s="102">
        <f t="shared" si="271"/>
        <v>1</v>
      </c>
      <c r="M410" s="102" t="str">
        <f t="shared" ref="M410" si="295">IF(C409&lt;=C410,"ok","wrong")</f>
        <v>ok</v>
      </c>
    </row>
    <row r="411" spans="1:13" ht="16">
      <c r="A411" s="155"/>
      <c r="B411" s="155" t="s">
        <v>614</v>
      </c>
      <c r="C411" s="109">
        <f>SUMIF('CH&amp;YP Gweithgaredd'!$AH$4:$AH$99967,"Dawns Ieuenctid",'CH&amp;YP Gweithgaredd'!$AK$4:$AK$99967)</f>
        <v>0</v>
      </c>
      <c r="D411" s="102">
        <f t="shared" si="270"/>
        <v>1</v>
      </c>
      <c r="E411" s="14"/>
      <c r="F411" s="14"/>
      <c r="G411" s="14"/>
      <c r="H411" s="14"/>
      <c r="I411" s="14"/>
      <c r="J411" s="14"/>
      <c r="K411" s="100"/>
      <c r="L411" s="102">
        <f t="shared" si="271"/>
        <v>1</v>
      </c>
      <c r="M411" s="102" t="str">
        <f t="shared" ref="M411" si="296">IF(AND(C411&gt;=0.1,SUM(C412)&gt;=C411),"ok",IF(AND(C411=0,SUM(C412)=0),"ok",IF(AND(C411&gt;0.1,SUM(C412)=0),"wrong",IF(AND(C411=0,SUM(C412)&gt;0.1),"wrong"))))</f>
        <v>ok</v>
      </c>
    </row>
    <row r="412" spans="1:13" ht="16">
      <c r="A412" s="155"/>
      <c r="B412" s="155" t="s">
        <v>615</v>
      </c>
      <c r="C412" s="109">
        <f>SUMIF('CH&amp;YP Gweithgaredd'!$AH$4:$AH$99967,"Dawns Ieuenctid",'CH&amp;YP Gweithgaredd'!$AP$4:$AP$99967)</f>
        <v>0</v>
      </c>
      <c r="D412" s="102">
        <f t="shared" si="270"/>
        <v>1</v>
      </c>
      <c r="E412" s="14"/>
      <c r="F412" s="14"/>
      <c r="G412" s="14"/>
      <c r="H412" s="14"/>
      <c r="I412" s="14"/>
      <c r="J412" s="14"/>
      <c r="K412" s="100"/>
      <c r="L412" s="102">
        <f t="shared" si="271"/>
        <v>1</v>
      </c>
      <c r="M412" s="102" t="str">
        <f t="shared" ref="M412" si="297">IF(C411&lt;=C412,"ok","wrong")</f>
        <v>ok</v>
      </c>
    </row>
    <row r="413" spans="1:13" ht="16">
      <c r="A413" s="155"/>
      <c r="B413" s="155" t="s">
        <v>616</v>
      </c>
      <c r="C413" s="109">
        <f>SUMIF('CH&amp;YP Gweithgaredd'!$AH$4:$AH$99967,"Dawns Ieuenctid",'CH&amp;YP Gweithgaredd'!$AL$4:$AL$99967)</f>
        <v>0</v>
      </c>
      <c r="D413" s="102">
        <f t="shared" si="270"/>
        <v>1</v>
      </c>
      <c r="E413" s="14"/>
      <c r="F413" s="14"/>
      <c r="G413" s="14"/>
      <c r="H413" s="14"/>
      <c r="I413" s="14"/>
      <c r="J413" s="14"/>
      <c r="K413" s="100"/>
      <c r="L413" s="102">
        <f t="shared" si="271"/>
        <v>1</v>
      </c>
      <c r="M413" s="102" t="str">
        <f t="shared" ref="M413" si="298">IF(AND(C413&gt;=0.1,SUM(C414)&gt;=C413),"ok",IF(AND(C413=0,SUM(C414)=0),"ok",IF(AND(C413&gt;0.1,SUM(C414)=0),"wrong",IF(AND(C413=0,SUM(C414)&gt;0.1),"wrong"))))</f>
        <v>ok</v>
      </c>
    </row>
    <row r="414" spans="1:13" ht="16">
      <c r="A414" s="155"/>
      <c r="B414" s="155" t="s">
        <v>617</v>
      </c>
      <c r="C414" s="109">
        <f>SUMIF('CH&amp;YP Gweithgaredd'!$AH$4:$AH$99967,"Dawns Ieuenctid",'CH&amp;YP Gweithgaredd'!$AQ$4:$AQ$99967)</f>
        <v>0</v>
      </c>
      <c r="D414" s="102">
        <f t="shared" si="270"/>
        <v>1</v>
      </c>
      <c r="E414" s="14"/>
      <c r="F414" s="14"/>
      <c r="G414" s="14"/>
      <c r="H414" s="14"/>
      <c r="I414" s="14"/>
      <c r="J414" s="14"/>
      <c r="K414" s="100"/>
      <c r="L414" s="102">
        <f t="shared" si="271"/>
        <v>1</v>
      </c>
      <c r="M414" s="102" t="str">
        <f t="shared" ref="M414" si="299">IF(C413&lt;=C414,"ok","wrong")</f>
        <v>ok</v>
      </c>
    </row>
    <row r="415" spans="1:13" ht="16">
      <c r="A415" s="155"/>
      <c r="B415" s="155" t="s">
        <v>618</v>
      </c>
      <c r="C415" s="109">
        <f>SUMIF('CH&amp;YP Gweithgaredd'!$AH$4:$AH$99967,"Dawns Ieuenctid",'CH&amp;YP Gweithgaredd'!$AM$4:$AM$99967)</f>
        <v>0</v>
      </c>
      <c r="D415" s="102">
        <f t="shared" si="270"/>
        <v>1</v>
      </c>
      <c r="E415" s="14"/>
      <c r="F415" s="14"/>
      <c r="G415" s="14"/>
      <c r="H415" s="14"/>
      <c r="I415" s="14"/>
      <c r="J415" s="14"/>
      <c r="K415" s="100"/>
      <c r="L415" s="102">
        <f t="shared" si="271"/>
        <v>1</v>
      </c>
      <c r="M415" s="102" t="str">
        <f t="shared" ref="M415" si="300">IF(AND(C415&gt;=0.1,SUM(C416)&gt;=C415),"ok",IF(AND(C415=0,SUM(C416)=0),"ok",IF(AND(C415&gt;0.1,SUM(C416)=0),"wrong",IF(AND(C415=0,SUM(C416)&gt;0.1),"wrong"))))</f>
        <v>ok</v>
      </c>
    </row>
    <row r="416" spans="1:13" ht="16">
      <c r="A416" s="155"/>
      <c r="B416" s="155" t="s">
        <v>619</v>
      </c>
      <c r="C416" s="109">
        <f>SUMIF('CH&amp;YP Gweithgaredd'!$AH$4:$AH$99967,"Dawns Ieuenctid",'CH&amp;YP Gweithgaredd'!$AR$4:$AR$99967)</f>
        <v>0</v>
      </c>
      <c r="D416" s="102">
        <f t="shared" si="270"/>
        <v>1</v>
      </c>
      <c r="E416" s="14"/>
      <c r="F416" s="14"/>
      <c r="G416" s="14"/>
      <c r="H416" s="14"/>
      <c r="I416" s="14"/>
      <c r="J416" s="14"/>
      <c r="K416" s="100"/>
      <c r="L416" s="102">
        <f t="shared" si="271"/>
        <v>1</v>
      </c>
      <c r="M416" s="102" t="str">
        <f t="shared" ref="M416" si="301">IF(C415&lt;=C416,"ok","wrong")</f>
        <v>ok</v>
      </c>
    </row>
    <row r="417" spans="1:13" ht="16">
      <c r="A417" s="155" t="s">
        <v>377</v>
      </c>
      <c r="B417" s="155" t="s">
        <v>610</v>
      </c>
      <c r="C417" s="109">
        <f>SUMIF('CH&amp;YP Gweithgaredd'!$AH$4:$AH$99967,"Celf Berfformio Ieuenctid",'CH&amp;YP Gweithgaredd'!$AI$4:$AI$99967)</f>
        <v>0</v>
      </c>
      <c r="D417" s="102">
        <f t="shared" si="270"/>
        <v>1</v>
      </c>
      <c r="E417" s="14"/>
      <c r="F417" s="14"/>
      <c r="G417" s="14"/>
      <c r="H417" s="14"/>
      <c r="I417" s="14"/>
      <c r="J417" s="14"/>
      <c r="K417" s="100"/>
      <c r="L417" s="102">
        <f t="shared" si="271"/>
        <v>1</v>
      </c>
      <c r="M417" s="102" t="str">
        <f t="shared" ref="M417" si="302">IF(AND(C417&gt;=0.1,SUM(C418)&gt;=C417),"ok",IF(AND(C417=0,SUM(C418)=0),"ok",IF(AND(C417&gt;0.1,SUM(C418)=0),"wrong",IF(AND(C417=0,SUM(C418)&gt;0.1),"wrong"))))</f>
        <v>ok</v>
      </c>
    </row>
    <row r="418" spans="1:13" ht="16">
      <c r="A418" s="155"/>
      <c r="B418" s="155" t="s">
        <v>611</v>
      </c>
      <c r="C418" s="109">
        <f>SUMIF('CH&amp;YP Gweithgaredd'!$AH$4:$AH$99967,"Celf Berfformio Ieuenctid",'CH&amp;YP Gweithgaredd'!$AN$4:$AN$99967)</f>
        <v>0</v>
      </c>
      <c r="D418" s="102">
        <f t="shared" si="270"/>
        <v>1</v>
      </c>
      <c r="E418" s="14"/>
      <c r="F418" s="14"/>
      <c r="G418" s="14"/>
      <c r="H418" s="14"/>
      <c r="I418" s="14"/>
      <c r="J418" s="14"/>
      <c r="K418" s="100"/>
      <c r="L418" s="102">
        <f t="shared" si="271"/>
        <v>1</v>
      </c>
      <c r="M418" s="102" t="str">
        <f t="shared" ref="M418" si="303">IF(C417&lt;=C418,"ok","wrong")</f>
        <v>ok</v>
      </c>
    </row>
    <row r="419" spans="1:13" ht="16">
      <c r="A419" s="155"/>
      <c r="B419" s="155" t="s">
        <v>612</v>
      </c>
      <c r="C419" s="109">
        <f>SUMIF('CH&amp;YP Gweithgaredd'!$AH$4:$AH$99967,"Celf Berfformio Ieuenctid",'CH&amp;YP Gweithgaredd'!$AJ$4:$AJ$99967)</f>
        <v>0</v>
      </c>
      <c r="D419" s="102">
        <f t="shared" si="270"/>
        <v>1</v>
      </c>
      <c r="E419" s="14"/>
      <c r="F419" s="14"/>
      <c r="G419" s="14"/>
      <c r="H419" s="14"/>
      <c r="I419" s="14"/>
      <c r="J419" s="14"/>
      <c r="K419" s="100"/>
      <c r="L419" s="102">
        <f t="shared" si="271"/>
        <v>1</v>
      </c>
      <c r="M419" s="102" t="str">
        <f t="shared" ref="M419" si="304">IF(AND(C419&gt;=0.1,SUM(C420)&gt;=C419),"ok",IF(AND(C419=0,SUM(C420)=0),"ok",IF(AND(C419&gt;0.1,SUM(C420)=0),"wrong",IF(AND(C419=0,SUM(C420)&gt;0.1),"wrong"))))</f>
        <v>ok</v>
      </c>
    </row>
    <row r="420" spans="1:13" ht="16">
      <c r="A420" s="155"/>
      <c r="B420" s="155" t="s">
        <v>613</v>
      </c>
      <c r="C420" s="109">
        <f>SUMIF('CH&amp;YP Gweithgaredd'!$AH$4:$AH$99967,"Celf Berfformio Ieuenctid",'CH&amp;YP Gweithgaredd'!$AO$4:$AO$99967)</f>
        <v>0</v>
      </c>
      <c r="D420" s="102">
        <f t="shared" si="270"/>
        <v>1</v>
      </c>
      <c r="E420" s="14"/>
      <c r="F420" s="14"/>
      <c r="G420" s="14"/>
      <c r="H420" s="14"/>
      <c r="I420" s="14"/>
      <c r="J420" s="14"/>
      <c r="K420" s="100"/>
      <c r="L420" s="102">
        <f t="shared" si="271"/>
        <v>1</v>
      </c>
      <c r="M420" s="102" t="str">
        <f t="shared" ref="M420" si="305">IF(C419&lt;=C420,"ok","wrong")</f>
        <v>ok</v>
      </c>
    </row>
    <row r="421" spans="1:13" ht="16">
      <c r="A421" s="155"/>
      <c r="B421" s="155" t="s">
        <v>614</v>
      </c>
      <c r="C421" s="109">
        <f>SUMIF('CH&amp;YP Gweithgaredd'!$AH$4:$AH$99967,"Celf Berfformio Ieuenctid",'CH&amp;YP Gweithgaredd'!$AK$4:$AK$99967)</f>
        <v>0</v>
      </c>
      <c r="D421" s="102">
        <f t="shared" si="270"/>
        <v>1</v>
      </c>
      <c r="E421" s="14"/>
      <c r="F421" s="14"/>
      <c r="G421" s="14"/>
      <c r="H421" s="14"/>
      <c r="I421" s="14"/>
      <c r="J421" s="14"/>
      <c r="K421" s="100"/>
      <c r="L421" s="102">
        <f t="shared" si="271"/>
        <v>1</v>
      </c>
      <c r="M421" s="102" t="str">
        <f t="shared" ref="M421" si="306">IF(AND(C421&gt;=0.1,SUM(C422)&gt;=C421),"ok",IF(AND(C421=0,SUM(C422)=0),"ok",IF(AND(C421&gt;0.1,SUM(C422)=0),"wrong",IF(AND(C421=0,SUM(C422)&gt;0.1),"wrong"))))</f>
        <v>ok</v>
      </c>
    </row>
    <row r="422" spans="1:13" ht="16">
      <c r="A422" s="155"/>
      <c r="B422" s="155" t="s">
        <v>615</v>
      </c>
      <c r="C422" s="109">
        <f>SUMIF('CH&amp;YP Gweithgaredd'!$AH$4:$AH$99967,"Celf Berfformio Ieuenctid",'CH&amp;YP Gweithgaredd'!$AP$4:$AP$99967)</f>
        <v>0</v>
      </c>
      <c r="D422" s="102">
        <f t="shared" si="270"/>
        <v>1</v>
      </c>
      <c r="E422" s="14"/>
      <c r="F422" s="14"/>
      <c r="G422" s="14"/>
      <c r="H422" s="14"/>
      <c r="I422" s="14"/>
      <c r="J422" s="14"/>
      <c r="K422" s="100"/>
      <c r="L422" s="102">
        <f t="shared" si="271"/>
        <v>1</v>
      </c>
      <c r="M422" s="102" t="str">
        <f t="shared" ref="M422" si="307">IF(C421&lt;=C422,"ok","wrong")</f>
        <v>ok</v>
      </c>
    </row>
    <row r="423" spans="1:13" ht="16">
      <c r="A423" s="155"/>
      <c r="B423" s="155" t="s">
        <v>616</v>
      </c>
      <c r="C423" s="109">
        <f>SUMIF('CH&amp;YP Gweithgaredd'!$AH$4:$AH$99967,"Celf Berfformio Ieuenctid",'CH&amp;YP Gweithgaredd'!$AL$4:$AL$99967)</f>
        <v>0</v>
      </c>
      <c r="D423" s="102">
        <f t="shared" si="270"/>
        <v>1</v>
      </c>
      <c r="E423" s="14"/>
      <c r="F423" s="14"/>
      <c r="G423" s="14"/>
      <c r="H423" s="14"/>
      <c r="I423" s="14"/>
      <c r="J423" s="14"/>
      <c r="K423" s="100"/>
      <c r="L423" s="102">
        <f t="shared" si="271"/>
        <v>1</v>
      </c>
      <c r="M423" s="102" t="str">
        <f t="shared" ref="M423" si="308">IF(AND(C423&gt;=0.1,SUM(C424)&gt;=C423),"ok",IF(AND(C423=0,SUM(C424)=0),"ok",IF(AND(C423&gt;0.1,SUM(C424)=0),"wrong",IF(AND(C423=0,SUM(C424)&gt;0.1),"wrong"))))</f>
        <v>ok</v>
      </c>
    </row>
    <row r="424" spans="1:13" ht="16">
      <c r="A424" s="155"/>
      <c r="B424" s="155" t="s">
        <v>617</v>
      </c>
      <c r="C424" s="109">
        <f>SUMIF('CH&amp;YP Gweithgaredd'!$AH$4:$AH$99967,"Celf Berfformio Ieuenctid",'CH&amp;YP Gweithgaredd'!$AQ$4:$AQ$99967)</f>
        <v>0</v>
      </c>
      <c r="D424" s="102">
        <f t="shared" si="270"/>
        <v>1</v>
      </c>
      <c r="E424" s="14"/>
      <c r="F424" s="14"/>
      <c r="G424" s="14"/>
      <c r="H424" s="14"/>
      <c r="I424" s="14"/>
      <c r="J424" s="14"/>
      <c r="K424" s="100"/>
      <c r="L424" s="102">
        <f t="shared" si="271"/>
        <v>1</v>
      </c>
      <c r="M424" s="102" t="str">
        <f t="shared" ref="M424" si="309">IF(C423&lt;=C424,"ok","wrong")</f>
        <v>ok</v>
      </c>
    </row>
    <row r="425" spans="1:13" ht="16">
      <c r="A425" s="155"/>
      <c r="B425" s="155" t="s">
        <v>618</v>
      </c>
      <c r="C425" s="109">
        <f>SUMIF('CH&amp;YP Gweithgaredd'!$AH$4:$AH$99967,"Celf Berfformio Ieuenctid",'CH&amp;YP Gweithgaredd'!$AM$4:$AM$99967)</f>
        <v>0</v>
      </c>
      <c r="D425" s="102">
        <f t="shared" si="270"/>
        <v>1</v>
      </c>
      <c r="E425" s="14"/>
      <c r="F425" s="14"/>
      <c r="G425" s="14"/>
      <c r="H425" s="14"/>
      <c r="I425" s="14"/>
      <c r="J425" s="14"/>
      <c r="K425" s="100"/>
      <c r="L425" s="102">
        <f t="shared" si="271"/>
        <v>1</v>
      </c>
      <c r="M425" s="102" t="str">
        <f t="shared" ref="M425" si="310">IF(AND(C425&gt;=0.1,SUM(C426)&gt;=C425),"ok",IF(AND(C425=0,SUM(C426)=0),"ok",IF(AND(C425&gt;0.1,SUM(C426)=0),"wrong",IF(AND(C425=0,SUM(C426)&gt;0.1),"wrong"))))</f>
        <v>ok</v>
      </c>
    </row>
    <row r="426" spans="1:13" ht="16">
      <c r="A426" s="155"/>
      <c r="B426" s="155" t="s">
        <v>619</v>
      </c>
      <c r="C426" s="109">
        <f>SUMIF('CH&amp;YP Gweithgaredd'!$AH$4:$AH$99967,"Celf Berfformio Ieuenctid",'CH&amp;YP Gweithgaredd'!$AR$4:$AR$99967)</f>
        <v>0</v>
      </c>
      <c r="D426" s="102">
        <f t="shared" si="270"/>
        <v>1</v>
      </c>
      <c r="E426" s="14"/>
      <c r="F426" s="14"/>
      <c r="G426" s="14"/>
      <c r="H426" s="14"/>
      <c r="I426" s="14"/>
      <c r="J426" s="14"/>
      <c r="K426" s="100"/>
      <c r="L426" s="102">
        <f t="shared" si="271"/>
        <v>1</v>
      </c>
      <c r="M426" s="102" t="str">
        <f t="shared" ref="M426" si="311">IF(C425&lt;=C426,"ok","wrong")</f>
        <v>ok</v>
      </c>
    </row>
    <row r="427" spans="1:13" ht="29">
      <c r="A427" s="155" t="s">
        <v>628</v>
      </c>
      <c r="B427" s="107" t="s">
        <v>629</v>
      </c>
      <c r="C427" s="109">
        <f>SUM('CH&amp;YP Gweithgaredd'!$AT:$AT)</f>
        <v>0</v>
      </c>
      <c r="D427" s="102">
        <f t="shared" si="270"/>
        <v>1</v>
      </c>
      <c r="E427" s="14"/>
      <c r="F427" s="14"/>
      <c r="G427" s="14"/>
      <c r="H427" s="14"/>
      <c r="I427" s="14"/>
      <c r="J427" s="14"/>
      <c r="K427" s="100"/>
      <c r="L427" s="102">
        <f t="shared" si="271"/>
        <v>1</v>
      </c>
      <c r="M427" s="102" t="str">
        <f t="shared" ref="M427" si="312">IF(AND(C427&gt;=0.1,SUM(C428)&gt;=C427),"ok",IF(AND(C427=0,SUM(C428)=0),"ok",IF(AND(C427&gt;0.1,SUM(C428)=0),"wrong",IF(AND(C427=0,SUM(C428)&gt;0.1),"wrong"))))</f>
        <v>ok</v>
      </c>
    </row>
    <row r="428" spans="1:13" ht="29">
      <c r="A428" s="155"/>
      <c r="B428" s="107" t="s">
        <v>630</v>
      </c>
      <c r="C428" s="109">
        <f>SUM('CH&amp;YP Gweithgaredd'!$AU:$AU)</f>
        <v>0</v>
      </c>
      <c r="D428" s="102">
        <f t="shared" si="270"/>
        <v>1</v>
      </c>
      <c r="E428" s="14"/>
      <c r="F428" s="14"/>
      <c r="G428" s="14"/>
      <c r="H428" s="14"/>
      <c r="I428" s="14"/>
      <c r="J428" s="14"/>
      <c r="K428" s="100"/>
      <c r="L428" s="102">
        <f t="shared" si="271"/>
        <v>1</v>
      </c>
      <c r="M428" s="102" t="str">
        <f t="shared" ref="M428" si="313">IF(C427&lt;=C428,"ok","wrong")</f>
        <v>ok</v>
      </c>
    </row>
    <row r="429" spans="1:13" ht="16">
      <c r="A429" s="155" t="s">
        <v>631</v>
      </c>
      <c r="B429" s="107" t="s">
        <v>491</v>
      </c>
      <c r="C429" s="109">
        <f>COUNTIF('CH&amp;YP Gweithgaredd'!$AW:$AW,"Do")</f>
        <v>0</v>
      </c>
      <c r="D429" s="102"/>
      <c r="E429" s="14"/>
      <c r="F429" s="14"/>
      <c r="G429" s="14"/>
      <c r="H429" s="14"/>
      <c r="I429" s="14"/>
      <c r="J429" s="14"/>
      <c r="K429" s="100"/>
      <c r="L429" s="102"/>
      <c r="M429" s="102"/>
    </row>
    <row r="430" spans="1:13" ht="16">
      <c r="A430" s="155"/>
      <c r="B430" s="107" t="s">
        <v>585</v>
      </c>
      <c r="C430" s="109">
        <f>COUNTIF('CH&amp;YP Gweithgaredd'!$AX:$AX,"Do")</f>
        <v>0</v>
      </c>
      <c r="D430" s="102"/>
      <c r="E430" s="14"/>
      <c r="F430" s="14"/>
      <c r="G430" s="14"/>
      <c r="H430" s="14"/>
      <c r="I430" s="14"/>
      <c r="J430" s="14"/>
      <c r="K430" s="100"/>
      <c r="L430" s="102"/>
      <c r="M430" s="102"/>
    </row>
    <row r="431" spans="1:13" ht="16">
      <c r="A431" s="155"/>
      <c r="B431" s="107" t="s">
        <v>586</v>
      </c>
      <c r="C431" s="109">
        <f>COUNTIF('CH&amp;YP Gweithgaredd'!$AY:$AY,"Do")</f>
        <v>0</v>
      </c>
      <c r="D431" s="102"/>
      <c r="E431" s="14"/>
      <c r="F431" s="14"/>
      <c r="G431" s="14"/>
      <c r="H431" s="14"/>
      <c r="I431" s="14"/>
      <c r="J431" s="14"/>
      <c r="K431" s="100"/>
      <c r="L431" s="102"/>
      <c r="M431" s="102"/>
    </row>
    <row r="432" spans="1:13" ht="16">
      <c r="A432" s="155"/>
      <c r="B432" s="107" t="s">
        <v>587</v>
      </c>
      <c r="C432" s="109">
        <f>COUNTIF('CH&amp;YP Gweithgaredd'!$AZ:$AZ,"Do")</f>
        <v>0</v>
      </c>
      <c r="D432" s="102"/>
      <c r="E432" s="14"/>
      <c r="F432" s="14"/>
      <c r="G432" s="14"/>
      <c r="H432" s="14"/>
      <c r="I432" s="14"/>
      <c r="J432" s="14"/>
      <c r="K432" s="100"/>
      <c r="L432" s="102"/>
      <c r="M432" s="102"/>
    </row>
    <row r="433" spans="1:13" ht="16">
      <c r="A433" s="155"/>
      <c r="B433" s="107" t="s">
        <v>588</v>
      </c>
      <c r="C433" s="109">
        <f>COUNTIF('CH&amp;YP Gweithgaredd'!$BA:$BA,"Do")</f>
        <v>0</v>
      </c>
      <c r="D433" s="102"/>
      <c r="E433" s="14"/>
      <c r="F433" s="14"/>
      <c r="G433" s="14"/>
      <c r="H433" s="14"/>
      <c r="I433" s="14"/>
      <c r="J433" s="14"/>
      <c r="K433" s="100"/>
      <c r="L433" s="102"/>
      <c r="M433" s="102"/>
    </row>
    <row r="434" spans="1:13" ht="16">
      <c r="A434" s="155"/>
      <c r="B434" s="107" t="s">
        <v>589</v>
      </c>
      <c r="C434" s="109">
        <f>COUNTIF('CH&amp;YP Gweithgaredd'!$BB:$BB,"Do")</f>
        <v>0</v>
      </c>
      <c r="D434" s="102"/>
      <c r="E434" s="14"/>
      <c r="F434" s="14"/>
      <c r="G434" s="14"/>
      <c r="H434" s="14"/>
      <c r="I434" s="14"/>
      <c r="J434" s="14"/>
      <c r="K434" s="100"/>
      <c r="L434" s="102"/>
      <c r="M434" s="102"/>
    </row>
    <row r="435" spans="1:13" ht="16">
      <c r="A435" s="155"/>
      <c r="B435" s="107" t="s">
        <v>590</v>
      </c>
      <c r="C435" s="109">
        <f>COUNTIF('CH&amp;YP Gweithgaredd'!$BC:$BC,"Do")</f>
        <v>0</v>
      </c>
      <c r="D435" s="102"/>
      <c r="E435" s="14"/>
      <c r="F435" s="14"/>
      <c r="G435" s="14"/>
      <c r="H435" s="14"/>
      <c r="I435" s="14"/>
      <c r="J435" s="14"/>
      <c r="K435" s="100"/>
      <c r="L435" s="102"/>
      <c r="M435" s="102"/>
    </row>
    <row r="436" spans="1:13" ht="16">
      <c r="A436" s="155"/>
      <c r="B436" s="107" t="s">
        <v>96</v>
      </c>
      <c r="C436" s="109">
        <f>COUNTIF('CH&amp;YP Gweithgaredd'!$BD:$BD,"Do")</f>
        <v>0</v>
      </c>
      <c r="D436" s="102"/>
      <c r="E436" s="14"/>
      <c r="F436" s="14"/>
      <c r="G436" s="14"/>
      <c r="H436" s="14"/>
      <c r="I436" s="14"/>
      <c r="J436" s="14"/>
      <c r="K436" s="100"/>
      <c r="L436" s="102"/>
      <c r="M436" s="102"/>
    </row>
    <row r="437" spans="1:13" ht="16">
      <c r="A437" s="155"/>
      <c r="B437" s="107" t="s">
        <v>97</v>
      </c>
      <c r="C437" s="109">
        <f>COUNTIF('CH&amp;YP Gweithgaredd'!$BE:$BE,"Do")</f>
        <v>0</v>
      </c>
      <c r="D437" s="102"/>
      <c r="E437" s="14"/>
      <c r="F437" s="14"/>
      <c r="G437" s="14"/>
      <c r="H437" s="14"/>
      <c r="I437" s="14"/>
      <c r="J437" s="14"/>
      <c r="K437" s="100"/>
      <c r="L437" s="102"/>
      <c r="M437" s="102"/>
    </row>
    <row r="438" spans="1:13" ht="16">
      <c r="A438" s="155" t="s">
        <v>632</v>
      </c>
      <c r="B438" s="155" t="s">
        <v>593</v>
      </c>
      <c r="C438" s="109">
        <f>COUNTIF('CH&amp;YP Gweithgaredd'!$BF:$BF,"Do")</f>
        <v>0</v>
      </c>
      <c r="D438" s="102"/>
      <c r="E438" s="14"/>
      <c r="F438" s="14"/>
      <c r="G438" s="14"/>
      <c r="H438" s="14"/>
      <c r="I438" s="14"/>
      <c r="J438" s="14"/>
      <c r="K438" s="100"/>
      <c r="L438" s="102"/>
      <c r="M438" s="102"/>
    </row>
    <row r="439" spans="1:13" ht="16">
      <c r="A439" s="155"/>
      <c r="B439" s="155" t="s">
        <v>594</v>
      </c>
      <c r="C439" s="109">
        <f>COUNTIF('CH&amp;YP Gweithgaredd'!$BG:$BG,"Do")</f>
        <v>0</v>
      </c>
      <c r="D439" s="102"/>
      <c r="E439" s="14"/>
      <c r="F439" s="14"/>
      <c r="G439" s="14"/>
      <c r="H439" s="14"/>
      <c r="I439" s="14"/>
      <c r="J439" s="14"/>
      <c r="K439" s="100"/>
      <c r="L439" s="102"/>
      <c r="M439" s="102"/>
    </row>
    <row r="440" spans="1:13" ht="16">
      <c r="A440" s="155"/>
      <c r="B440" s="155" t="s">
        <v>595</v>
      </c>
      <c r="C440" s="109">
        <f>COUNTIF('CH&amp;YP Gweithgaredd'!$BH:$BH,"Do")</f>
        <v>0</v>
      </c>
      <c r="D440" s="102"/>
      <c r="E440" s="14"/>
      <c r="F440" s="14"/>
      <c r="G440" s="14"/>
      <c r="H440" s="14"/>
      <c r="I440" s="14"/>
      <c r="J440" s="14"/>
      <c r="K440" s="100"/>
      <c r="L440" s="102"/>
      <c r="M440" s="102"/>
    </row>
    <row r="441" spans="1:13" ht="16">
      <c r="A441" s="155"/>
      <c r="B441" s="155" t="s">
        <v>596</v>
      </c>
      <c r="C441" s="109">
        <f>COUNTIF('CH&amp;YP Gweithgaredd'!$BI:$BI,"Do")</f>
        <v>0</v>
      </c>
      <c r="D441" s="14"/>
      <c r="E441" s="14"/>
      <c r="F441" s="14"/>
      <c r="G441" s="14"/>
      <c r="H441" s="14"/>
      <c r="I441" s="14"/>
      <c r="J441" s="14"/>
      <c r="K441" s="100"/>
      <c r="L441" s="102"/>
      <c r="M441" s="102"/>
    </row>
    <row r="442" spans="1:13" ht="16">
      <c r="A442" s="155"/>
      <c r="B442" s="155" t="s">
        <v>597</v>
      </c>
      <c r="C442" s="109">
        <f>COUNTIF('CH&amp;YP Gweithgaredd'!$BJ:$BJ,"Do")</f>
        <v>0</v>
      </c>
      <c r="D442" s="14"/>
      <c r="E442" s="14"/>
      <c r="F442" s="14"/>
      <c r="G442" s="14"/>
      <c r="H442" s="14"/>
      <c r="I442" s="14"/>
      <c r="J442" s="14"/>
      <c r="K442" s="100"/>
      <c r="L442" s="102"/>
      <c r="M442" s="102"/>
    </row>
    <row r="443" spans="1:13" ht="16">
      <c r="A443" s="155"/>
      <c r="B443" s="155" t="s">
        <v>598</v>
      </c>
      <c r="C443" s="109">
        <f>COUNTIF('CH&amp;YP Gweithgaredd'!$BK:$BK,"Do")</f>
        <v>0</v>
      </c>
      <c r="D443" s="14"/>
      <c r="E443" s="14"/>
      <c r="F443" s="14"/>
      <c r="G443" s="14"/>
      <c r="H443" s="14"/>
      <c r="I443" s="14"/>
      <c r="J443" s="14"/>
      <c r="K443" s="100"/>
      <c r="L443" s="102"/>
      <c r="M443" s="102"/>
    </row>
    <row r="444" spans="1:13" ht="16">
      <c r="A444" s="90"/>
      <c r="B444" s="90"/>
      <c r="C444" s="90"/>
      <c r="D444" s="14"/>
      <c r="E444" s="14"/>
      <c r="F444" s="14"/>
      <c r="G444" s="14"/>
      <c r="H444" s="14"/>
      <c r="I444" s="14"/>
      <c r="J444" s="14"/>
      <c r="K444" s="100"/>
      <c r="L444" s="102"/>
      <c r="M444" s="102"/>
    </row>
    <row r="445" spans="1:13">
      <c r="A445" s="110" t="s">
        <v>514</v>
      </c>
      <c r="B445" s="110"/>
      <c r="C445" s="110"/>
      <c r="D445" s="14"/>
      <c r="E445" s="14"/>
      <c r="F445" s="14"/>
      <c r="G445" s="14"/>
      <c r="H445" s="14"/>
      <c r="I445" s="14"/>
      <c r="J445" s="14"/>
      <c r="K445" s="100"/>
      <c r="L445" s="102"/>
      <c r="M445" s="102"/>
    </row>
    <row r="446" spans="1:13">
      <c r="A446" s="110"/>
      <c r="B446" s="110"/>
      <c r="C446" s="110"/>
      <c r="D446" s="14"/>
      <c r="E446" s="14"/>
      <c r="F446" s="14"/>
      <c r="G446" s="14"/>
      <c r="H446" s="14"/>
      <c r="I446" s="14"/>
      <c r="J446" s="14"/>
      <c r="K446" s="100"/>
      <c r="L446" s="102"/>
      <c r="M446" s="102"/>
    </row>
    <row r="447" spans="1:13">
      <c r="A447" s="110" t="s">
        <v>523</v>
      </c>
      <c r="B447" s="110" t="s">
        <v>599</v>
      </c>
      <c r="C447" s="111">
        <f>SUMIF('Ymgyfranogi Cyffredinol'!D4:D9999,"Sesiwn ddigidol fyw",'Ymgyfranogi Cyffredinol'!E:I)</f>
        <v>0</v>
      </c>
      <c r="D447" s="158">
        <f>L447</f>
        <v>1</v>
      </c>
      <c r="E447" s="14"/>
      <c r="F447" s="14"/>
      <c r="G447" s="14"/>
      <c r="H447" s="14"/>
      <c r="I447" s="14"/>
      <c r="J447" s="14"/>
      <c r="K447" s="100"/>
      <c r="L447" s="102">
        <f t="shared" ref="L447:L456" si="314">IF(M447="ok",1,0)</f>
        <v>1</v>
      </c>
      <c r="M447" s="102" t="str">
        <f t="shared" ref="M447:M451" si="315">IF(AND(C447&gt;=0.1,SUM(C448)&gt;=C447),"ok",IF(AND(C447=0,SUM(C448)=0),"ok",IF(AND(C447&gt;0.1,SUM(C448)=0),"wrong",IF(AND(C447=0,SUM(C448)&gt;0.1),"wrong"))))</f>
        <v>ok</v>
      </c>
    </row>
    <row r="448" spans="1:13">
      <c r="A448" s="110"/>
      <c r="B448" s="110" t="s">
        <v>600</v>
      </c>
      <c r="C448" s="111">
        <f>SUMIF('Ymgyfranogi Cyffredinol'!D4:D9999,"Sesiwn ddigidol fyw",'Ymgyfranogi Cyffredinol'!J:N)</f>
        <v>0</v>
      </c>
      <c r="D448" s="158">
        <f t="shared" ref="D448:D456" si="316">L448</f>
        <v>1</v>
      </c>
      <c r="E448" s="14"/>
      <c r="F448" s="14"/>
      <c r="G448" s="14"/>
      <c r="H448" s="14"/>
      <c r="I448" s="14"/>
      <c r="J448" s="14"/>
      <c r="K448" s="100"/>
      <c r="L448" s="102">
        <f t="shared" si="314"/>
        <v>1</v>
      </c>
      <c r="M448" s="102" t="str">
        <f t="shared" ref="M448:M452" si="317">IF(C447&lt;=C448,"ok","wrong")</f>
        <v>ok</v>
      </c>
    </row>
    <row r="449" spans="1:13">
      <c r="A449" s="110"/>
      <c r="B449" s="110" t="s">
        <v>601</v>
      </c>
      <c r="C449" s="111">
        <f>SUMIF('Ymgyfranogi Cyffredinol'!D4:D9999,"sesiwn ddigidol wedi'i recordio ymlaen llaw",'Ymgyfranogi Cyffredinol'!E:I)</f>
        <v>0</v>
      </c>
      <c r="D449" s="158">
        <f t="shared" si="316"/>
        <v>1</v>
      </c>
      <c r="E449" s="14"/>
      <c r="F449" s="14"/>
      <c r="G449" s="14"/>
      <c r="H449" s="14"/>
      <c r="I449" s="14"/>
      <c r="J449" s="14"/>
      <c r="K449" s="100"/>
      <c r="L449" s="102">
        <f t="shared" si="314"/>
        <v>1</v>
      </c>
      <c r="M449" s="102" t="str">
        <f t="shared" si="315"/>
        <v>ok</v>
      </c>
    </row>
    <row r="450" spans="1:13">
      <c r="A450" s="110"/>
      <c r="B450" s="110" t="s">
        <v>602</v>
      </c>
      <c r="C450" s="111">
        <f>SUMIF('Ymgyfranogi Cyffredinol'!D4:D9999,"sesiwn ddigidol wedi'i recordio ymlaen llaw",'Ymgyfranogi Cyffredinol'!J:N)</f>
        <v>0</v>
      </c>
      <c r="D450" s="158">
        <f t="shared" si="316"/>
        <v>1</v>
      </c>
      <c r="E450" s="14"/>
      <c r="F450" s="14"/>
      <c r="G450" s="14"/>
      <c r="H450" s="14"/>
      <c r="I450" s="14"/>
      <c r="J450" s="14"/>
      <c r="K450" s="100"/>
      <c r="L450" s="102">
        <f t="shared" si="314"/>
        <v>1</v>
      </c>
      <c r="M450" s="102" t="str">
        <f t="shared" si="317"/>
        <v>ok</v>
      </c>
    </row>
    <row r="451" spans="1:13">
      <c r="A451" s="110"/>
      <c r="B451" s="110" t="s">
        <v>603</v>
      </c>
      <c r="C451" s="111">
        <f>SUMIF('Ymgyfranogi Cyffredinol'!D4:D9999,"sesiwn wyneb yn wyneb",'Ymgyfranogi Cyffredinol'!E:I)</f>
        <v>0</v>
      </c>
      <c r="D451" s="158">
        <f t="shared" si="316"/>
        <v>1</v>
      </c>
      <c r="E451" s="14"/>
      <c r="F451" s="14"/>
      <c r="G451" s="14"/>
      <c r="H451" s="14"/>
      <c r="I451" s="14"/>
      <c r="J451" s="14"/>
      <c r="K451" s="100"/>
      <c r="L451" s="102">
        <f t="shared" si="314"/>
        <v>1</v>
      </c>
      <c r="M451" s="102" t="str">
        <f t="shared" si="315"/>
        <v>ok</v>
      </c>
    </row>
    <row r="452" spans="1:13">
      <c r="A452" s="110"/>
      <c r="B452" s="110" t="s">
        <v>604</v>
      </c>
      <c r="C452" s="111">
        <f>SUMIF('Ymgyfranogi Cyffredinol'!D4:D9999,"sesiwn wyneb yn wyneb",'Ymgyfranogi Cyffredinol'!J:N)</f>
        <v>0</v>
      </c>
      <c r="D452" s="158">
        <f t="shared" si="316"/>
        <v>1</v>
      </c>
      <c r="E452" s="14"/>
      <c r="F452" s="14"/>
      <c r="G452" s="14"/>
      <c r="H452" s="14"/>
      <c r="I452" s="14"/>
      <c r="J452" s="14"/>
      <c r="K452" s="100"/>
      <c r="L452" s="102">
        <f t="shared" si="314"/>
        <v>1</v>
      </c>
      <c r="M452" s="102" t="str">
        <f t="shared" si="317"/>
        <v>ok</v>
      </c>
    </row>
    <row r="453" spans="1:13">
      <c r="A453" s="110"/>
      <c r="B453" s="110" t="s">
        <v>605</v>
      </c>
      <c r="C453" s="111">
        <f>SUMIF('Ymgyfranogi Cyffredinol'!D4:D9999,"prosiect ffôn",'Ymgyfranogi Cyffredinol'!E:I)</f>
        <v>0</v>
      </c>
      <c r="D453" s="158">
        <f t="shared" si="316"/>
        <v>1</v>
      </c>
      <c r="E453" s="14"/>
      <c r="F453" s="14"/>
      <c r="G453" s="14"/>
      <c r="H453" s="14"/>
      <c r="I453" s="14"/>
      <c r="J453" s="14"/>
      <c r="K453" s="100"/>
      <c r="L453" s="102">
        <f t="shared" si="314"/>
        <v>1</v>
      </c>
      <c r="M453" s="102" t="str">
        <f t="shared" ref="M453" si="318">IF(AND(C453&gt;=0.1,SUM(C454)&gt;=C453),"ok",IF(AND(C453=0,SUM(C454)=0),"ok",IF(AND(C453&gt;0.1,SUM(C454)=0),"wrong",IF(AND(C453=0,SUM(C454)&gt;0.1),"wrong"))))</f>
        <v>ok</v>
      </c>
    </row>
    <row r="454" spans="1:13">
      <c r="A454" s="110"/>
      <c r="B454" s="110" t="s">
        <v>606</v>
      </c>
      <c r="C454" s="111">
        <f>SUMIF('Ymgyfranogi Cyffredinol'!D4:D9999,"prosiect ffôn",'Ymgyfranogi Cyffredinol'!J:N)</f>
        <v>0</v>
      </c>
      <c r="D454" s="158">
        <f t="shared" si="316"/>
        <v>1</v>
      </c>
      <c r="E454" s="14"/>
      <c r="F454" s="14"/>
      <c r="G454" s="14"/>
      <c r="H454" s="14"/>
      <c r="I454" s="14"/>
      <c r="J454" s="14"/>
      <c r="K454" s="100"/>
      <c r="L454" s="102">
        <f t="shared" si="314"/>
        <v>1</v>
      </c>
      <c r="M454" s="102" t="str">
        <f t="shared" ref="M454" si="319">IF(C453&lt;=C454,"ok","wrong")</f>
        <v>ok</v>
      </c>
    </row>
    <row r="455" spans="1:13">
      <c r="A455" s="110"/>
      <c r="B455" s="110" t="s">
        <v>607</v>
      </c>
      <c r="C455" s="111">
        <f>SUMIF('Ymgyfranogi Cyffredinol'!D4:D9999,"prosiect post",'Ymgyfranogi Cyffredinol'!E:I)</f>
        <v>0</v>
      </c>
      <c r="D455" s="158">
        <f t="shared" si="316"/>
        <v>1</v>
      </c>
      <c r="E455" s="14"/>
      <c r="F455" s="14"/>
      <c r="G455" s="14"/>
      <c r="H455" s="14"/>
      <c r="I455" s="14"/>
      <c r="J455" s="14"/>
      <c r="K455" s="100"/>
      <c r="L455" s="102">
        <f t="shared" si="314"/>
        <v>1</v>
      </c>
      <c r="M455" s="102" t="str">
        <f t="shared" ref="M455" si="320">IF(AND(C455&gt;=0.1,SUM(C456)&gt;=C455),"ok",IF(AND(C455=0,SUM(C456)=0),"ok",IF(AND(C455&gt;0.1,SUM(C456)=0),"wrong",IF(AND(C455=0,SUM(C456)&gt;0.1),"wrong"))))</f>
        <v>ok</v>
      </c>
    </row>
    <row r="456" spans="1:13">
      <c r="A456" s="110"/>
      <c r="B456" s="110" t="s">
        <v>608</v>
      </c>
      <c r="C456" s="111">
        <f>SUMIF('Ymgyfranogi Cyffredinol'!D4:D9999,"prosiect post",'Ymgyfranogi Cyffredinol'!J:N)</f>
        <v>0</v>
      </c>
      <c r="D456" s="158">
        <f t="shared" si="316"/>
        <v>1</v>
      </c>
      <c r="E456" s="14"/>
      <c r="F456" s="14"/>
      <c r="G456" s="14"/>
      <c r="H456" s="14"/>
      <c r="I456" s="14"/>
      <c r="J456" s="14"/>
      <c r="K456" s="100"/>
      <c r="L456" s="102">
        <f t="shared" si="314"/>
        <v>1</v>
      </c>
      <c r="M456" s="102" t="str">
        <f t="shared" ref="M456" si="321">IF(C455&lt;=C456,"ok","wrong")</f>
        <v>ok</v>
      </c>
    </row>
    <row r="457" spans="1:13">
      <c r="A457" s="110" t="s">
        <v>633</v>
      </c>
      <c r="B457" s="110"/>
      <c r="C457" s="110"/>
      <c r="D457" s="14"/>
      <c r="E457" s="14"/>
      <c r="F457" s="14"/>
      <c r="G457" s="14"/>
      <c r="H457" s="14"/>
      <c r="I457" s="14"/>
      <c r="J457" s="14"/>
      <c r="K457" s="100"/>
      <c r="L457" s="102"/>
      <c r="M457" s="102"/>
    </row>
    <row r="458" spans="1:13">
      <c r="A458" s="110" t="s">
        <v>370</v>
      </c>
      <c r="B458" s="110" t="s">
        <v>610</v>
      </c>
      <c r="C458" s="111">
        <f>SUMIF('Ymgyfranogi Cyffredinol'!$C$4:$C$99968,"Dawns",'Ymgyfranogi Cyffredinol'!$E$4:$E$99968)</f>
        <v>0</v>
      </c>
      <c r="D458" s="102">
        <f t="shared" ref="D458:D521" si="322">L458</f>
        <v>1</v>
      </c>
      <c r="E458" s="14"/>
      <c r="F458" s="14"/>
      <c r="G458" s="14"/>
      <c r="H458" s="14"/>
      <c r="I458" s="14"/>
      <c r="J458" s="14"/>
      <c r="K458" s="100"/>
      <c r="L458" s="102">
        <f t="shared" ref="L458:L521" si="323">IF(M458="ok",1,0)</f>
        <v>1</v>
      </c>
      <c r="M458" s="102" t="str">
        <f t="shared" ref="M458" si="324">IF(AND(C458&gt;=0.1,SUM(C459)&gt;=C458),"ok",IF(AND(C458=0,SUM(C459)=0),"ok",IF(AND(C458&gt;0.1,SUM(C459)=0),"wrong",IF(AND(C458=0,SUM(C459)&gt;0.1),"wrong"))))</f>
        <v>ok</v>
      </c>
    </row>
    <row r="459" spans="1:13">
      <c r="A459" s="110"/>
      <c r="B459" s="110" t="s">
        <v>611</v>
      </c>
      <c r="C459" s="111">
        <f>SUMIF('Ymgyfranogi Cyffredinol'!$C$4:$C$99968,"Dawns",'Ymgyfranogi Cyffredinol'!$J$4:$J$99968)</f>
        <v>0</v>
      </c>
      <c r="D459" s="102">
        <f t="shared" si="322"/>
        <v>1</v>
      </c>
      <c r="E459" s="14"/>
      <c r="F459" s="14"/>
      <c r="G459" s="14"/>
      <c r="H459" s="14"/>
      <c r="I459" s="14"/>
      <c r="J459" s="14"/>
      <c r="K459" s="100"/>
      <c r="L459" s="102">
        <f t="shared" si="323"/>
        <v>1</v>
      </c>
      <c r="M459" s="102" t="str">
        <f t="shared" ref="M459" si="325">IF(C458&lt;=C459,"ok","wrong")</f>
        <v>ok</v>
      </c>
    </row>
    <row r="460" spans="1:13">
      <c r="A460" s="110"/>
      <c r="B460" s="110" t="s">
        <v>612</v>
      </c>
      <c r="C460" s="111">
        <f>SUMIF('Ymgyfranogi Cyffredinol'!$C$4:$C$99968,"Dawns",'Ymgyfranogi Cyffredinol'!$F$4:$F$99968)</f>
        <v>0</v>
      </c>
      <c r="D460" s="102">
        <f t="shared" si="322"/>
        <v>1</v>
      </c>
      <c r="E460" s="14"/>
      <c r="F460" s="14"/>
      <c r="G460" s="14"/>
      <c r="H460" s="14"/>
      <c r="I460" s="14"/>
      <c r="J460" s="14"/>
      <c r="K460" s="100"/>
      <c r="L460" s="102">
        <f t="shared" si="323"/>
        <v>1</v>
      </c>
      <c r="M460" s="102" t="str">
        <f t="shared" ref="M460" si="326">IF(AND(C460&gt;=0.1,SUM(C461)&gt;=C460),"ok",IF(AND(C460=0,SUM(C461)=0),"ok",IF(AND(C460&gt;0.1,SUM(C461)=0),"wrong",IF(AND(C460=0,SUM(C461)&gt;0.1),"wrong"))))</f>
        <v>ok</v>
      </c>
    </row>
    <row r="461" spans="1:13">
      <c r="A461" s="110"/>
      <c r="B461" s="110" t="s">
        <v>613</v>
      </c>
      <c r="C461" s="111">
        <f>SUMIF('Ymgyfranogi Cyffredinol'!$C$4:$C$99968,"Dawns",'Ymgyfranogi Cyffredinol'!$K$4:$K$99968)</f>
        <v>0</v>
      </c>
      <c r="D461" s="102">
        <f t="shared" si="322"/>
        <v>1</v>
      </c>
      <c r="E461" s="14"/>
      <c r="F461" s="14"/>
      <c r="G461" s="14"/>
      <c r="H461" s="14"/>
      <c r="I461" s="14"/>
      <c r="J461" s="14"/>
      <c r="K461" s="100"/>
      <c r="L461" s="102">
        <f t="shared" si="323"/>
        <v>1</v>
      </c>
      <c r="M461" s="102" t="str">
        <f t="shared" ref="M461" si="327">IF(C460&lt;=C461,"ok","wrong")</f>
        <v>ok</v>
      </c>
    </row>
    <row r="462" spans="1:13" ht="16.5" customHeight="1">
      <c r="A462" s="110"/>
      <c r="B462" s="110" t="s">
        <v>614</v>
      </c>
      <c r="C462" s="111">
        <f>SUMIF('Ymgyfranogi Cyffredinol'!$C$4:$C$99968,"Dawns",'Ymgyfranogi Cyffredinol'!$G$4:$G$99968)</f>
        <v>0</v>
      </c>
      <c r="D462" s="102">
        <f t="shared" si="322"/>
        <v>1</v>
      </c>
      <c r="E462" s="14"/>
      <c r="F462" s="14"/>
      <c r="G462" s="14"/>
      <c r="H462" s="14"/>
      <c r="I462" s="14"/>
      <c r="J462" s="14"/>
      <c r="K462" s="100"/>
      <c r="L462" s="102">
        <f t="shared" si="323"/>
        <v>1</v>
      </c>
      <c r="M462" s="102" t="str">
        <f t="shared" ref="M462" si="328">IF(AND(C462&gt;=0.1,SUM(C463)&gt;=C462),"ok",IF(AND(C462=0,SUM(C463)=0),"ok",IF(AND(C462&gt;0.1,SUM(C463)=0),"wrong",IF(AND(C462=0,SUM(C463)&gt;0.1),"wrong"))))</f>
        <v>ok</v>
      </c>
    </row>
    <row r="463" spans="1:13">
      <c r="A463" s="110"/>
      <c r="B463" s="110" t="s">
        <v>615</v>
      </c>
      <c r="C463" s="111">
        <f>SUMIF('Ymgyfranogi Cyffredinol'!$C$4:$C$99968,"Dawns",'Ymgyfranogi Cyffredinol'!$L$4:$L$99968)</f>
        <v>0</v>
      </c>
      <c r="D463" s="102">
        <f t="shared" si="322"/>
        <v>1</v>
      </c>
      <c r="E463" s="14"/>
      <c r="F463" s="14"/>
      <c r="G463" s="14"/>
      <c r="H463" s="14"/>
      <c r="I463" s="14"/>
      <c r="J463" s="14"/>
      <c r="K463" s="100"/>
      <c r="L463" s="102">
        <f t="shared" si="323"/>
        <v>1</v>
      </c>
      <c r="M463" s="102" t="str">
        <f t="shared" ref="M463" si="329">IF(C462&lt;=C463,"ok","wrong")</f>
        <v>ok</v>
      </c>
    </row>
    <row r="464" spans="1:13">
      <c r="A464" s="110"/>
      <c r="B464" s="110" t="s">
        <v>616</v>
      </c>
      <c r="C464" s="111">
        <f>SUMIF('Ymgyfranogi Cyffredinol'!$C$4:$C$99968,"Dawns",'Ymgyfranogi Cyffredinol'!$H$4:$H$99968)</f>
        <v>0</v>
      </c>
      <c r="D464" s="102">
        <f t="shared" si="322"/>
        <v>1</v>
      </c>
      <c r="E464" s="14"/>
      <c r="F464" s="14"/>
      <c r="G464" s="14"/>
      <c r="H464" s="14"/>
      <c r="I464" s="14"/>
      <c r="J464" s="14"/>
      <c r="K464" s="100"/>
      <c r="L464" s="102">
        <f t="shared" si="323"/>
        <v>1</v>
      </c>
      <c r="M464" s="102" t="str">
        <f t="shared" ref="M464" si="330">IF(AND(C464&gt;=0.1,SUM(C465)&gt;=C464),"ok",IF(AND(C464=0,SUM(C465)=0),"ok",IF(AND(C464&gt;0.1,SUM(C465)=0),"wrong",IF(AND(C464=0,SUM(C465)&gt;0.1),"wrong"))))</f>
        <v>ok</v>
      </c>
    </row>
    <row r="465" spans="1:13">
      <c r="A465" s="110"/>
      <c r="B465" s="110" t="s">
        <v>617</v>
      </c>
      <c r="C465" s="111">
        <f>SUMIF('Ymgyfranogi Cyffredinol'!$C$4:$C$99968,"Dawns",'Ymgyfranogi Cyffredinol'!$M$4:$M$99968)</f>
        <v>0</v>
      </c>
      <c r="D465" s="102">
        <f t="shared" si="322"/>
        <v>1</v>
      </c>
      <c r="E465" s="14"/>
      <c r="F465" s="14"/>
      <c r="G465" s="14"/>
      <c r="H465" s="14"/>
      <c r="I465" s="14"/>
      <c r="J465" s="14"/>
      <c r="K465" s="100"/>
      <c r="L465" s="102">
        <f t="shared" si="323"/>
        <v>1</v>
      </c>
      <c r="M465" s="102" t="str">
        <f t="shared" ref="M465" si="331">IF(C464&lt;=C465,"ok","wrong")</f>
        <v>ok</v>
      </c>
    </row>
    <row r="466" spans="1:13">
      <c r="A466" s="110"/>
      <c r="B466" s="110" t="s">
        <v>618</v>
      </c>
      <c r="C466" s="111">
        <f>SUMIF('Ymgyfranogi Cyffredinol'!$C$4:$C$99968,"Dawns",'Ymgyfranogi Cyffredinol'!$I$4:$I$99968)</f>
        <v>0</v>
      </c>
      <c r="D466" s="102">
        <f t="shared" si="322"/>
        <v>1</v>
      </c>
      <c r="E466" s="14"/>
      <c r="F466" s="14"/>
      <c r="G466" s="14"/>
      <c r="H466" s="14"/>
      <c r="I466" s="14"/>
      <c r="J466" s="14"/>
      <c r="K466" s="100"/>
      <c r="L466" s="102">
        <f t="shared" si="323"/>
        <v>1</v>
      </c>
      <c r="M466" s="102" t="str">
        <f t="shared" ref="M466" si="332">IF(AND(C466&gt;=0.1,SUM(C467)&gt;=C466),"ok",IF(AND(C466=0,SUM(C467)=0),"ok",IF(AND(C466&gt;0.1,SUM(C467)=0),"wrong",IF(AND(C466=0,SUM(C467)&gt;0.1),"wrong"))))</f>
        <v>ok</v>
      </c>
    </row>
    <row r="467" spans="1:13">
      <c r="A467" s="110"/>
      <c r="B467" s="110" t="s">
        <v>619</v>
      </c>
      <c r="C467" s="111">
        <f>SUMIF('Ymgyfranogi Cyffredinol'!$C$4:$C$99968,"Dawns",'Ymgyfranogi Cyffredinol'!$N$4:$N$99968)</f>
        <v>0</v>
      </c>
      <c r="D467" s="102">
        <f t="shared" si="322"/>
        <v>1</v>
      </c>
      <c r="E467" s="14"/>
      <c r="F467" s="14"/>
      <c r="G467" s="14"/>
      <c r="H467" s="14"/>
      <c r="I467" s="14"/>
      <c r="J467" s="14"/>
      <c r="K467" s="100"/>
      <c r="L467" s="102">
        <f t="shared" si="323"/>
        <v>1</v>
      </c>
      <c r="M467" s="102" t="str">
        <f t="shared" ref="M467" si="333">IF(C466&lt;=C467,"ok","wrong")</f>
        <v>ok</v>
      </c>
    </row>
    <row r="468" spans="1:13">
      <c r="A468" s="110" t="s">
        <v>373</v>
      </c>
      <c r="B468" s="110" t="s">
        <v>610</v>
      </c>
      <c r="C468" s="111">
        <f>SUMIF('Ymgyfranogi Cyffredinol'!$C$4:$C$99968,"Amlddisgyblaethol",'Ymgyfranogi Cyffredinol'!$E$4:$E$99968)</f>
        <v>0</v>
      </c>
      <c r="D468" s="102">
        <f t="shared" si="322"/>
        <v>1</v>
      </c>
      <c r="E468" s="14"/>
      <c r="F468" s="14"/>
      <c r="G468" s="14"/>
      <c r="H468" s="14"/>
      <c r="I468" s="14"/>
      <c r="J468" s="14"/>
      <c r="K468" s="100"/>
      <c r="L468" s="102">
        <f t="shared" si="323"/>
        <v>1</v>
      </c>
      <c r="M468" s="102" t="str">
        <f t="shared" ref="M468" si="334">IF(AND(C468&gt;=0.1,SUM(C469)&gt;=C468),"ok",IF(AND(C468=0,SUM(C469)=0),"ok",IF(AND(C468&gt;0.1,SUM(C469)=0),"wrong",IF(AND(C468=0,SUM(C469)&gt;0.1),"wrong"))))</f>
        <v>ok</v>
      </c>
    </row>
    <row r="469" spans="1:13">
      <c r="A469" s="110"/>
      <c r="B469" s="110" t="s">
        <v>611</v>
      </c>
      <c r="C469" s="111">
        <f>SUMIF('Ymgyfranogi Cyffredinol'!$C$4:$C$99968,"Amlddisgyblaethol",'Ymgyfranogi Cyffredinol'!$J$4:$J$99968)</f>
        <v>0</v>
      </c>
      <c r="D469" s="102">
        <f t="shared" si="322"/>
        <v>1</v>
      </c>
      <c r="E469" s="14"/>
      <c r="F469" s="14"/>
      <c r="G469" s="14"/>
      <c r="H469" s="14"/>
      <c r="I469" s="14"/>
      <c r="J469" s="14"/>
      <c r="K469" s="100"/>
      <c r="L469" s="102">
        <f t="shared" si="323"/>
        <v>1</v>
      </c>
      <c r="M469" s="102" t="str">
        <f t="shared" ref="M469" si="335">IF(C468&lt;=C469,"ok","wrong")</f>
        <v>ok</v>
      </c>
    </row>
    <row r="470" spans="1:13">
      <c r="A470" s="110"/>
      <c r="B470" s="110" t="s">
        <v>612</v>
      </c>
      <c r="C470" s="111">
        <f>SUMIF('Ymgyfranogi Cyffredinol'!$C$4:$C$99968,"Amlddisgyblaethol",'Ymgyfranogi Cyffredinol'!$F$4:$F$99968)</f>
        <v>0</v>
      </c>
      <c r="D470" s="102">
        <f t="shared" si="322"/>
        <v>1</v>
      </c>
      <c r="E470" s="14"/>
      <c r="F470" s="14"/>
      <c r="G470" s="14"/>
      <c r="H470" s="14"/>
      <c r="I470" s="14"/>
      <c r="J470" s="14"/>
      <c r="K470" s="100"/>
      <c r="L470" s="102">
        <f t="shared" si="323"/>
        <v>1</v>
      </c>
      <c r="M470" s="102" t="str">
        <f t="shared" ref="M470" si="336">IF(AND(C470&gt;=0.1,SUM(C471)&gt;=C470),"ok",IF(AND(C470=0,SUM(C471)=0),"ok",IF(AND(C470&gt;0.1,SUM(C471)=0),"wrong",IF(AND(C470=0,SUM(C471)&gt;0.1),"wrong"))))</f>
        <v>ok</v>
      </c>
    </row>
    <row r="471" spans="1:13">
      <c r="A471" s="110"/>
      <c r="B471" s="110" t="s">
        <v>613</v>
      </c>
      <c r="C471" s="111">
        <f>SUMIF('Ymgyfranogi Cyffredinol'!$C$4:$C$99968,"Amlddisgyblaethol",'Ymgyfranogi Cyffredinol'!$K$4:$K$99968)</f>
        <v>0</v>
      </c>
      <c r="D471" s="102">
        <f t="shared" si="322"/>
        <v>1</v>
      </c>
      <c r="E471" s="14"/>
      <c r="F471" s="14"/>
      <c r="G471" s="14"/>
      <c r="H471" s="14"/>
      <c r="I471" s="14"/>
      <c r="J471" s="14"/>
      <c r="K471" s="100"/>
      <c r="L471" s="102">
        <f t="shared" si="323"/>
        <v>1</v>
      </c>
      <c r="M471" s="102" t="str">
        <f t="shared" ref="M471" si="337">IF(C470&lt;=C471,"ok","wrong")</f>
        <v>ok</v>
      </c>
    </row>
    <row r="472" spans="1:13">
      <c r="A472" s="110"/>
      <c r="B472" s="110" t="s">
        <v>614</v>
      </c>
      <c r="C472" s="111">
        <f>SUMIF('Ymgyfranogi Cyffredinol'!$C$4:$C$99968,"Amlddisgyblaethol",'Ymgyfranogi Cyffredinol'!$G$4:$G$99968)</f>
        <v>0</v>
      </c>
      <c r="D472" s="102">
        <f t="shared" si="322"/>
        <v>1</v>
      </c>
      <c r="E472" s="14"/>
      <c r="F472" s="14"/>
      <c r="G472" s="14"/>
      <c r="H472" s="14"/>
      <c r="I472" s="14"/>
      <c r="J472" s="14"/>
      <c r="K472" s="100"/>
      <c r="L472" s="102">
        <f t="shared" si="323"/>
        <v>1</v>
      </c>
      <c r="M472" s="102" t="str">
        <f t="shared" ref="M472" si="338">IF(AND(C472&gt;=0.1,SUM(C473)&gt;=C472),"ok",IF(AND(C472=0,SUM(C473)=0),"ok",IF(AND(C472&gt;0.1,SUM(C473)=0),"wrong",IF(AND(C472=0,SUM(C473)&gt;0.1),"wrong"))))</f>
        <v>ok</v>
      </c>
    </row>
    <row r="473" spans="1:13">
      <c r="A473" s="110"/>
      <c r="B473" s="110" t="s">
        <v>615</v>
      </c>
      <c r="C473" s="111">
        <f>SUMIF('Ymgyfranogi Cyffredinol'!$C$4:$C$99968,"Amlddisgyblaethol",'Ymgyfranogi Cyffredinol'!$L$4:$L$99968)</f>
        <v>0</v>
      </c>
      <c r="D473" s="102">
        <f t="shared" si="322"/>
        <v>1</v>
      </c>
      <c r="E473" s="14"/>
      <c r="F473" s="14"/>
      <c r="G473" s="14"/>
      <c r="H473" s="14"/>
      <c r="I473" s="14"/>
      <c r="J473" s="14"/>
      <c r="K473" s="100"/>
      <c r="L473" s="102">
        <f t="shared" si="323"/>
        <v>1</v>
      </c>
      <c r="M473" s="102" t="str">
        <f t="shared" ref="M473" si="339">IF(C472&lt;=C473,"ok","wrong")</f>
        <v>ok</v>
      </c>
    </row>
    <row r="474" spans="1:13">
      <c r="A474" s="110"/>
      <c r="B474" s="110" t="s">
        <v>616</v>
      </c>
      <c r="C474" s="111">
        <f>SUMIF('Ymgyfranogi Cyffredinol'!$C$4:$C$99968,"Amlddisgyblaethol",'Ymgyfranogi Cyffredinol'!$H$4:$H$99968)</f>
        <v>0</v>
      </c>
      <c r="D474" s="102">
        <f t="shared" si="322"/>
        <v>1</v>
      </c>
      <c r="E474" s="14"/>
      <c r="F474" s="14"/>
      <c r="G474" s="14"/>
      <c r="H474" s="14"/>
      <c r="I474" s="14"/>
      <c r="J474" s="14"/>
      <c r="K474" s="100"/>
      <c r="L474" s="102">
        <f t="shared" si="323"/>
        <v>1</v>
      </c>
      <c r="M474" s="102" t="str">
        <f t="shared" ref="M474" si="340">IF(AND(C474&gt;=0.1,SUM(C475)&gt;=C474),"ok",IF(AND(C474=0,SUM(C475)=0),"ok",IF(AND(C474&gt;0.1,SUM(C475)=0),"wrong",IF(AND(C474=0,SUM(C475)&gt;0.1),"wrong"))))</f>
        <v>ok</v>
      </c>
    </row>
    <row r="475" spans="1:13">
      <c r="A475" s="110"/>
      <c r="B475" s="110" t="s">
        <v>617</v>
      </c>
      <c r="C475" s="111">
        <f>SUMIF('Ymgyfranogi Cyffredinol'!$C$4:$C$99968,"Amlddisgyblaethol",'Ymgyfranogi Cyffredinol'!$M$4:$M$99968)</f>
        <v>0</v>
      </c>
      <c r="D475" s="102">
        <f t="shared" si="322"/>
        <v>1</v>
      </c>
      <c r="E475" s="14"/>
      <c r="F475" s="14"/>
      <c r="G475" s="14"/>
      <c r="H475" s="14"/>
      <c r="I475" s="14"/>
      <c r="J475" s="14"/>
      <c r="K475" s="100"/>
      <c r="L475" s="102">
        <f t="shared" si="323"/>
        <v>1</v>
      </c>
      <c r="M475" s="102" t="str">
        <f t="shared" ref="M475" si="341">IF(C474&lt;=C475,"ok","wrong")</f>
        <v>ok</v>
      </c>
    </row>
    <row r="476" spans="1:13">
      <c r="A476" s="110"/>
      <c r="B476" s="110" t="s">
        <v>618</v>
      </c>
      <c r="C476" s="111">
        <f>SUMIF('Ymgyfranogi Cyffredinol'!$C$4:$C$99968,"Amlddisgyblaethol",'Ymgyfranogi Cyffredinol'!$I$4:$I$99968)</f>
        <v>0</v>
      </c>
      <c r="D476" s="102">
        <f t="shared" si="322"/>
        <v>1</v>
      </c>
      <c r="E476" s="14"/>
      <c r="F476" s="14"/>
      <c r="G476" s="14"/>
      <c r="H476" s="14"/>
      <c r="I476" s="14"/>
      <c r="J476" s="14"/>
      <c r="K476" s="100"/>
      <c r="L476" s="102">
        <f t="shared" si="323"/>
        <v>1</v>
      </c>
      <c r="M476" s="102" t="str">
        <f t="shared" ref="M476" si="342">IF(AND(C476&gt;=0.1,SUM(C477)&gt;=C476),"ok",IF(AND(C476=0,SUM(C477)=0),"ok",IF(AND(C476&gt;0.1,SUM(C477)=0),"wrong",IF(AND(C476=0,SUM(C477)&gt;0.1),"wrong"))))</f>
        <v>ok</v>
      </c>
    </row>
    <row r="477" spans="1:13">
      <c r="A477" s="110"/>
      <c r="B477" s="110" t="s">
        <v>619</v>
      </c>
      <c r="C477" s="111">
        <f>SUMIF('Ymgyfranogi Cyffredinol'!$C$4:$C$99968,"Amlddisgyblaethol",'Ymgyfranogi Cyffredinol'!$N$4:$N$99968)</f>
        <v>0</v>
      </c>
      <c r="D477" s="102">
        <f t="shared" si="322"/>
        <v>1</v>
      </c>
      <c r="E477" s="14"/>
      <c r="F477" s="14"/>
      <c r="G477" s="14"/>
      <c r="H477" s="14"/>
      <c r="I477" s="14"/>
      <c r="J477" s="14"/>
      <c r="K477" s="100"/>
      <c r="L477" s="102">
        <f t="shared" si="323"/>
        <v>1</v>
      </c>
      <c r="M477" s="102" t="str">
        <f t="shared" ref="M477" si="343">IF(C476&lt;=C477,"ok","wrong")</f>
        <v>ok</v>
      </c>
    </row>
    <row r="478" spans="1:13">
      <c r="A478" s="110" t="s">
        <v>376</v>
      </c>
      <c r="B478" s="110" t="s">
        <v>610</v>
      </c>
      <c r="C478" s="111">
        <f>SUMIF('Ymgyfranogi Cyffredinol'!$C$4:$C$99968,"Drama",'Ymgyfranogi Cyffredinol'!$E$4:$E$99968)</f>
        <v>0</v>
      </c>
      <c r="D478" s="102">
        <f t="shared" si="322"/>
        <v>1</v>
      </c>
      <c r="E478" s="14"/>
      <c r="F478" s="14"/>
      <c r="G478" s="14"/>
      <c r="H478" s="14"/>
      <c r="I478" s="14"/>
      <c r="J478" s="14"/>
      <c r="K478" s="100"/>
      <c r="L478" s="102">
        <f t="shared" si="323"/>
        <v>1</v>
      </c>
      <c r="M478" s="102" t="str">
        <f t="shared" ref="M478" si="344">IF(AND(C478&gt;=0.1,SUM(C479)&gt;=C478),"ok",IF(AND(C478=0,SUM(C479)=0),"ok",IF(AND(C478&gt;0.1,SUM(C479)=0),"wrong",IF(AND(C478=0,SUM(C479)&gt;0.1),"wrong"))))</f>
        <v>ok</v>
      </c>
    </row>
    <row r="479" spans="1:13">
      <c r="A479" s="110"/>
      <c r="B479" s="110" t="s">
        <v>611</v>
      </c>
      <c r="C479" s="111">
        <f>SUMIF('Ymgyfranogi Cyffredinol'!$C$4:$C$99968,"Drama",'Ymgyfranogi Cyffredinol'!$J$4:$J$99968)</f>
        <v>0</v>
      </c>
      <c r="D479" s="102">
        <f t="shared" si="322"/>
        <v>1</v>
      </c>
      <c r="E479" s="14"/>
      <c r="F479" s="14"/>
      <c r="G479" s="14"/>
      <c r="H479" s="14"/>
      <c r="I479" s="14"/>
      <c r="J479" s="14"/>
      <c r="K479" s="100"/>
      <c r="L479" s="102">
        <f t="shared" si="323"/>
        <v>1</v>
      </c>
      <c r="M479" s="102" t="str">
        <f t="shared" ref="M479" si="345">IF(C478&lt;=C479,"ok","wrong")</f>
        <v>ok</v>
      </c>
    </row>
    <row r="480" spans="1:13">
      <c r="A480" s="110"/>
      <c r="B480" s="110" t="s">
        <v>612</v>
      </c>
      <c r="C480" s="111">
        <f>SUMIF('Ymgyfranogi Cyffredinol'!$C$4:$C$99968,"Drama",'Ymgyfranogi Cyffredinol'!$F$4:$F$99968)</f>
        <v>0</v>
      </c>
      <c r="D480" s="102">
        <f t="shared" si="322"/>
        <v>1</v>
      </c>
      <c r="E480" s="14"/>
      <c r="F480" s="14"/>
      <c r="G480" s="14"/>
      <c r="H480" s="14"/>
      <c r="I480" s="14"/>
      <c r="J480" s="14"/>
      <c r="K480" s="100"/>
      <c r="L480" s="102">
        <f t="shared" si="323"/>
        <v>1</v>
      </c>
      <c r="M480" s="102" t="str">
        <f t="shared" ref="M480" si="346">IF(AND(C480&gt;=0.1,SUM(C481)&gt;=C480),"ok",IF(AND(C480=0,SUM(C481)=0),"ok",IF(AND(C480&gt;0.1,SUM(C481)=0),"wrong",IF(AND(C480=0,SUM(C481)&gt;0.1),"wrong"))))</f>
        <v>ok</v>
      </c>
    </row>
    <row r="481" spans="1:13">
      <c r="A481" s="110"/>
      <c r="B481" s="110" t="s">
        <v>613</v>
      </c>
      <c r="C481" s="111">
        <f>SUMIF('Ymgyfranogi Cyffredinol'!$C$4:$C$99968,"Drama",'Ymgyfranogi Cyffredinol'!$K$4:$K$99968)</f>
        <v>0</v>
      </c>
      <c r="D481" s="102">
        <f t="shared" si="322"/>
        <v>1</v>
      </c>
      <c r="E481" s="14"/>
      <c r="F481" s="14"/>
      <c r="G481" s="14"/>
      <c r="H481" s="14"/>
      <c r="I481" s="14"/>
      <c r="J481" s="14"/>
      <c r="K481" s="100"/>
      <c r="L481" s="102">
        <f t="shared" si="323"/>
        <v>1</v>
      </c>
      <c r="M481" s="102" t="str">
        <f t="shared" ref="M481" si="347">IF(C480&lt;=C481,"ok","wrong")</f>
        <v>ok</v>
      </c>
    </row>
    <row r="482" spans="1:13">
      <c r="A482" s="110"/>
      <c r="B482" s="110" t="s">
        <v>614</v>
      </c>
      <c r="C482" s="111">
        <f>SUMIF('Ymgyfranogi Cyffredinol'!$C$4:$C$99968,"Drama",'Ymgyfranogi Cyffredinol'!$G$4:$G$99968)</f>
        <v>0</v>
      </c>
      <c r="D482" s="102">
        <f t="shared" si="322"/>
        <v>1</v>
      </c>
      <c r="E482" s="14"/>
      <c r="F482" s="14"/>
      <c r="G482" s="14"/>
      <c r="H482" s="14"/>
      <c r="I482" s="14"/>
      <c r="J482" s="14"/>
      <c r="K482" s="100"/>
      <c r="L482" s="102">
        <f t="shared" si="323"/>
        <v>1</v>
      </c>
      <c r="M482" s="102" t="str">
        <f t="shared" ref="M482" si="348">IF(AND(C482&gt;=0.1,SUM(C483)&gt;=C482),"ok",IF(AND(C482=0,SUM(C483)=0),"ok",IF(AND(C482&gt;0.1,SUM(C483)=0),"wrong",IF(AND(C482=0,SUM(C483)&gt;0.1),"wrong"))))</f>
        <v>ok</v>
      </c>
    </row>
    <row r="483" spans="1:13">
      <c r="A483" s="110"/>
      <c r="B483" s="110" t="s">
        <v>615</v>
      </c>
      <c r="C483" s="111">
        <f>SUMIF('Ymgyfranogi Cyffredinol'!$C$4:$C$99968,"Drama",'Ymgyfranogi Cyffredinol'!$L$4:$L$99968)</f>
        <v>0</v>
      </c>
      <c r="D483" s="102">
        <f t="shared" si="322"/>
        <v>1</v>
      </c>
      <c r="E483" s="14"/>
      <c r="F483" s="14"/>
      <c r="G483" s="14"/>
      <c r="H483" s="14"/>
      <c r="I483" s="14"/>
      <c r="J483" s="14"/>
      <c r="K483" s="100"/>
      <c r="L483" s="102">
        <f t="shared" si="323"/>
        <v>1</v>
      </c>
      <c r="M483" s="102" t="str">
        <f t="shared" ref="M483" si="349">IF(C482&lt;=C483,"ok","wrong")</f>
        <v>ok</v>
      </c>
    </row>
    <row r="484" spans="1:13">
      <c r="A484" s="110"/>
      <c r="B484" s="110" t="s">
        <v>616</v>
      </c>
      <c r="C484" s="111">
        <f>SUMIF('Ymgyfranogi Cyffredinol'!$C$4:$C$99968,"Drama",'Ymgyfranogi Cyffredinol'!$H$4:$H$99968)</f>
        <v>0</v>
      </c>
      <c r="D484" s="102">
        <f t="shared" si="322"/>
        <v>1</v>
      </c>
      <c r="E484" s="14"/>
      <c r="F484" s="14"/>
      <c r="G484" s="14"/>
      <c r="H484" s="14"/>
      <c r="I484" s="14"/>
      <c r="J484" s="14"/>
      <c r="K484" s="100"/>
      <c r="L484" s="102">
        <f t="shared" si="323"/>
        <v>1</v>
      </c>
      <c r="M484" s="102" t="str">
        <f t="shared" ref="M484" si="350">IF(AND(C484&gt;=0.1,SUM(C485)&gt;=C484),"ok",IF(AND(C484=0,SUM(C485)=0),"ok",IF(AND(C484&gt;0.1,SUM(C485)=0),"wrong",IF(AND(C484=0,SUM(C485)&gt;0.1),"wrong"))))</f>
        <v>ok</v>
      </c>
    </row>
    <row r="485" spans="1:13">
      <c r="A485" s="110"/>
      <c r="B485" s="110" t="s">
        <v>617</v>
      </c>
      <c r="C485" s="111">
        <f>SUMIF('Ymgyfranogi Cyffredinol'!$C$4:$C$99968,"Drama",'Ymgyfranogi Cyffredinol'!$M$4:$M$99968)</f>
        <v>0</v>
      </c>
      <c r="D485" s="102">
        <f t="shared" si="322"/>
        <v>1</v>
      </c>
      <c r="E485" s="14"/>
      <c r="F485" s="14"/>
      <c r="G485" s="14"/>
      <c r="H485" s="14"/>
      <c r="I485" s="14"/>
      <c r="J485" s="14"/>
      <c r="K485" s="100"/>
      <c r="L485" s="102">
        <f t="shared" si="323"/>
        <v>1</v>
      </c>
      <c r="M485" s="102" t="str">
        <f t="shared" ref="M485" si="351">IF(C484&lt;=C485,"ok","wrong")</f>
        <v>ok</v>
      </c>
    </row>
    <row r="486" spans="1:13">
      <c r="A486" s="110"/>
      <c r="B486" s="110" t="s">
        <v>618</v>
      </c>
      <c r="C486" s="111">
        <f>SUMIF('Ymgyfranogi Cyffredinol'!$C$4:$C$99968,"Drama",'Ymgyfranogi Cyffredinol'!$I$4:$I$99968)</f>
        <v>0</v>
      </c>
      <c r="D486" s="102">
        <f t="shared" si="322"/>
        <v>1</v>
      </c>
      <c r="E486" s="14"/>
      <c r="F486" s="14"/>
      <c r="G486" s="14"/>
      <c r="H486" s="14"/>
      <c r="I486" s="14"/>
      <c r="J486" s="14"/>
      <c r="K486" s="100"/>
      <c r="L486" s="102">
        <f t="shared" si="323"/>
        <v>1</v>
      </c>
      <c r="M486" s="102" t="str">
        <f t="shared" ref="M486" si="352">IF(AND(C486&gt;=0.1,SUM(C487)&gt;=C486),"ok",IF(AND(C486=0,SUM(C487)=0),"ok",IF(AND(C486&gt;0.1,SUM(C487)=0),"wrong",IF(AND(C486=0,SUM(C487)&gt;0.1),"wrong"))))</f>
        <v>ok</v>
      </c>
    </row>
    <row r="487" spans="1:13">
      <c r="A487" s="110"/>
      <c r="B487" s="110" t="s">
        <v>619</v>
      </c>
      <c r="C487" s="111">
        <f>SUMIF('Ymgyfranogi Cyffredinol'!$C$4:$C$99968,"Drama",'Ymgyfranogi Cyffredinol'!$N$4:$N$99968)</f>
        <v>0</v>
      </c>
      <c r="D487" s="102">
        <f t="shared" si="322"/>
        <v>1</v>
      </c>
      <c r="E487" s="14"/>
      <c r="F487" s="14"/>
      <c r="G487" s="14"/>
      <c r="H487" s="14"/>
      <c r="I487" s="14"/>
      <c r="J487" s="14"/>
      <c r="K487" s="100"/>
      <c r="L487" s="102">
        <f t="shared" si="323"/>
        <v>1</v>
      </c>
      <c r="M487" s="102" t="str">
        <f t="shared" ref="M487" si="353">IF(C486&lt;=C487,"ok","wrong")</f>
        <v>ok</v>
      </c>
    </row>
    <row r="488" spans="1:13">
      <c r="A488" s="110" t="s">
        <v>378</v>
      </c>
      <c r="B488" s="110" t="s">
        <v>610</v>
      </c>
      <c r="C488" s="111">
        <f>SUMIF('Ymgyfranogi Cyffredinol'!$C$4:$C$99968,"Cerddoriaeth",'Ymgyfranogi Cyffredinol'!$E$4:$E$99968)</f>
        <v>0</v>
      </c>
      <c r="D488" s="102">
        <f t="shared" si="322"/>
        <v>1</v>
      </c>
      <c r="E488" s="14"/>
      <c r="F488" s="14"/>
      <c r="G488" s="14"/>
      <c r="H488" s="14"/>
      <c r="I488" s="14"/>
      <c r="J488" s="14"/>
      <c r="K488" s="100"/>
      <c r="L488" s="102">
        <f t="shared" si="323"/>
        <v>1</v>
      </c>
      <c r="M488" s="102" t="str">
        <f t="shared" ref="M488" si="354">IF(AND(C488&gt;=0.1,SUM(C489)&gt;=C488),"ok",IF(AND(C488=0,SUM(C489)=0),"ok",IF(AND(C488&gt;0.1,SUM(C489)=0),"wrong",IF(AND(C488=0,SUM(C489)&gt;0.1),"wrong"))))</f>
        <v>ok</v>
      </c>
    </row>
    <row r="489" spans="1:13">
      <c r="A489" s="110"/>
      <c r="B489" s="110" t="s">
        <v>611</v>
      </c>
      <c r="C489" s="111">
        <f>SUMIF('Ymgyfranogi Cyffredinol'!$C$4:$C$99968,"Cerddoriaeth",'Ymgyfranogi Cyffredinol'!$J$4:$J$99968)</f>
        <v>0</v>
      </c>
      <c r="D489" s="102">
        <f t="shared" si="322"/>
        <v>1</v>
      </c>
      <c r="E489" s="14"/>
      <c r="F489" s="14"/>
      <c r="G489" s="14"/>
      <c r="H489" s="14"/>
      <c r="I489" s="14"/>
      <c r="J489" s="14"/>
      <c r="K489" s="100"/>
      <c r="L489" s="102">
        <f t="shared" si="323"/>
        <v>1</v>
      </c>
      <c r="M489" s="102" t="str">
        <f t="shared" ref="M489" si="355">IF(C488&lt;=C489,"ok","wrong")</f>
        <v>ok</v>
      </c>
    </row>
    <row r="490" spans="1:13">
      <c r="A490" s="110"/>
      <c r="B490" s="110" t="s">
        <v>612</v>
      </c>
      <c r="C490" s="111">
        <f>SUMIF('Ymgyfranogi Cyffredinol'!$C$4:$C$99968,"Cerddoriaeth",'Ymgyfranogi Cyffredinol'!$F$4:$F$99968)</f>
        <v>0</v>
      </c>
      <c r="D490" s="102">
        <f t="shared" si="322"/>
        <v>1</v>
      </c>
      <c r="E490" s="14"/>
      <c r="F490" s="14"/>
      <c r="G490" s="14"/>
      <c r="H490" s="14"/>
      <c r="I490" s="14"/>
      <c r="J490" s="14"/>
      <c r="K490" s="100"/>
      <c r="L490" s="102">
        <f t="shared" si="323"/>
        <v>1</v>
      </c>
      <c r="M490" s="102" t="str">
        <f t="shared" ref="M490" si="356">IF(AND(C490&gt;=0.1,SUM(C491)&gt;=C490),"ok",IF(AND(C490=0,SUM(C491)=0),"ok",IF(AND(C490&gt;0.1,SUM(C491)=0),"wrong",IF(AND(C490=0,SUM(C491)&gt;0.1),"wrong"))))</f>
        <v>ok</v>
      </c>
    </row>
    <row r="491" spans="1:13">
      <c r="A491" s="110"/>
      <c r="B491" s="110" t="s">
        <v>613</v>
      </c>
      <c r="C491" s="111">
        <f>SUMIF('Ymgyfranogi Cyffredinol'!$C$4:$C$99968,"Cerddoriaeth",'Ymgyfranogi Cyffredinol'!$K$4:$K$99968)</f>
        <v>0</v>
      </c>
      <c r="D491" s="102">
        <f t="shared" si="322"/>
        <v>1</v>
      </c>
      <c r="E491" s="14"/>
      <c r="F491" s="14"/>
      <c r="G491" s="14"/>
      <c r="H491" s="14"/>
      <c r="I491" s="14"/>
      <c r="J491" s="14"/>
      <c r="K491" s="100"/>
      <c r="L491" s="102">
        <f t="shared" si="323"/>
        <v>1</v>
      </c>
      <c r="M491" s="102" t="str">
        <f t="shared" ref="M491" si="357">IF(C490&lt;=C491,"ok","wrong")</f>
        <v>ok</v>
      </c>
    </row>
    <row r="492" spans="1:13">
      <c r="A492" s="110"/>
      <c r="B492" s="110" t="s">
        <v>614</v>
      </c>
      <c r="C492" s="111">
        <f>SUMIF('Ymgyfranogi Cyffredinol'!$C$4:$C$99968,"Cerddoriaeth",'Ymgyfranogi Cyffredinol'!$G$4:$G$99968)</f>
        <v>0</v>
      </c>
      <c r="D492" s="102">
        <f t="shared" si="322"/>
        <v>1</v>
      </c>
      <c r="E492" s="14"/>
      <c r="F492" s="14"/>
      <c r="G492" s="14"/>
      <c r="H492" s="14"/>
      <c r="I492" s="14"/>
      <c r="J492" s="14"/>
      <c r="K492" s="100"/>
      <c r="L492" s="102">
        <f t="shared" si="323"/>
        <v>1</v>
      </c>
      <c r="M492" s="102" t="str">
        <f t="shared" ref="M492" si="358">IF(AND(C492&gt;=0.1,SUM(C493)&gt;=C492),"ok",IF(AND(C492=0,SUM(C493)=0),"ok",IF(AND(C492&gt;0.1,SUM(C493)=0),"wrong",IF(AND(C492=0,SUM(C493)&gt;0.1),"wrong"))))</f>
        <v>ok</v>
      </c>
    </row>
    <row r="493" spans="1:13">
      <c r="A493" s="110"/>
      <c r="B493" s="110" t="s">
        <v>615</v>
      </c>
      <c r="C493" s="111">
        <f>SUMIF('Ymgyfranogi Cyffredinol'!$C$4:$C$99968,"Cerddoriaeth",'Ymgyfranogi Cyffredinol'!$L$4:$L$99968)</f>
        <v>0</v>
      </c>
      <c r="D493" s="102">
        <f t="shared" si="322"/>
        <v>1</v>
      </c>
      <c r="E493" s="14"/>
      <c r="F493" s="14"/>
      <c r="G493" s="14"/>
      <c r="H493" s="14"/>
      <c r="I493" s="14"/>
      <c r="J493" s="14"/>
      <c r="K493" s="100"/>
      <c r="L493" s="102">
        <f t="shared" si="323"/>
        <v>1</v>
      </c>
      <c r="M493" s="102" t="str">
        <f t="shared" ref="M493" si="359">IF(C492&lt;=C493,"ok","wrong")</f>
        <v>ok</v>
      </c>
    </row>
    <row r="494" spans="1:13">
      <c r="A494" s="110"/>
      <c r="B494" s="110" t="s">
        <v>616</v>
      </c>
      <c r="C494" s="111">
        <f>SUMIF('Ymgyfranogi Cyffredinol'!$C$4:$C$99968,"Cerddoriaeth",'Ymgyfranogi Cyffredinol'!$H$4:$H$99968)</f>
        <v>0</v>
      </c>
      <c r="D494" s="102">
        <f t="shared" si="322"/>
        <v>1</v>
      </c>
      <c r="E494" s="14"/>
      <c r="F494" s="14"/>
      <c r="G494" s="14"/>
      <c r="H494" s="14"/>
      <c r="I494" s="14"/>
      <c r="J494" s="14"/>
      <c r="K494" s="100"/>
      <c r="L494" s="102">
        <f t="shared" si="323"/>
        <v>1</v>
      </c>
      <c r="M494" s="102" t="str">
        <f t="shared" ref="M494" si="360">IF(AND(C494&gt;=0.1,SUM(C495)&gt;=C494),"ok",IF(AND(C494=0,SUM(C495)=0),"ok",IF(AND(C494&gt;0.1,SUM(C495)=0),"wrong",IF(AND(C494=0,SUM(C495)&gt;0.1),"wrong"))))</f>
        <v>ok</v>
      </c>
    </row>
    <row r="495" spans="1:13">
      <c r="A495" s="110"/>
      <c r="B495" s="110" t="s">
        <v>617</v>
      </c>
      <c r="C495" s="111">
        <f>SUMIF('Ymgyfranogi Cyffredinol'!$C$4:$C$99968,"Cerddoriaeth",'Ymgyfranogi Cyffredinol'!$M$4:$M$99968)</f>
        <v>0</v>
      </c>
      <c r="D495" s="102">
        <f t="shared" si="322"/>
        <v>1</v>
      </c>
      <c r="E495" s="14"/>
      <c r="F495" s="14"/>
      <c r="G495" s="14"/>
      <c r="H495" s="14"/>
      <c r="I495" s="14"/>
      <c r="J495" s="14"/>
      <c r="K495" s="100"/>
      <c r="L495" s="102">
        <f t="shared" si="323"/>
        <v>1</v>
      </c>
      <c r="M495" s="102" t="str">
        <f t="shared" ref="M495" si="361">IF(C494&lt;=C495,"ok","wrong")</f>
        <v>ok</v>
      </c>
    </row>
    <row r="496" spans="1:13">
      <c r="A496" s="110"/>
      <c r="B496" s="110" t="s">
        <v>618</v>
      </c>
      <c r="C496" s="111">
        <f>SUMIF('Ymgyfranogi Cyffredinol'!$C$4:$C$99968,"Cerddoriaeth",'Ymgyfranogi Cyffredinol'!$I$4:$I$99968)</f>
        <v>0</v>
      </c>
      <c r="D496" s="102">
        <f t="shared" si="322"/>
        <v>1</v>
      </c>
      <c r="E496" s="14"/>
      <c r="F496" s="14"/>
      <c r="G496" s="14"/>
      <c r="H496" s="14"/>
      <c r="I496" s="14"/>
      <c r="J496" s="14"/>
      <c r="K496" s="100"/>
      <c r="L496" s="102">
        <f t="shared" si="323"/>
        <v>1</v>
      </c>
      <c r="M496" s="102" t="str">
        <f t="shared" ref="M496" si="362">IF(AND(C496&gt;=0.1,SUM(C497)&gt;=C496),"ok",IF(AND(C496=0,SUM(C497)=0),"ok",IF(AND(C496&gt;0.1,SUM(C497)=0),"wrong",IF(AND(C496=0,SUM(C497)&gt;0.1),"wrong"))))</f>
        <v>ok</v>
      </c>
    </row>
    <row r="497" spans="1:13">
      <c r="A497" s="110"/>
      <c r="B497" s="110" t="s">
        <v>619</v>
      </c>
      <c r="C497" s="111">
        <f>SUMIF('Ymgyfranogi Cyffredinol'!$C$4:$C$99968,"Cerddoriaeth",'Ymgyfranogi Cyffredinol'!$N$4:$N$99968)</f>
        <v>0</v>
      </c>
      <c r="D497" s="102">
        <f t="shared" si="322"/>
        <v>1</v>
      </c>
      <c r="E497" s="14"/>
      <c r="F497" s="14"/>
      <c r="G497" s="14"/>
      <c r="H497" s="14"/>
      <c r="I497" s="14"/>
      <c r="J497" s="14"/>
      <c r="K497" s="100"/>
      <c r="L497" s="102">
        <f t="shared" si="323"/>
        <v>1</v>
      </c>
      <c r="M497" s="102" t="str">
        <f t="shared" ref="M497" si="363">IF(C496&lt;=C497,"ok","wrong")</f>
        <v>ok</v>
      </c>
    </row>
    <row r="498" spans="1:13">
      <c r="A498" s="110" t="s">
        <v>379</v>
      </c>
      <c r="B498" s="110" t="s">
        <v>610</v>
      </c>
      <c r="C498" s="111">
        <f>SUMIF('Ymgyfranogi Cyffredinol'!$C$4:$C$99968,"Opera",'Ymgyfranogi Cyffredinol'!$E$4:$E$99968)</f>
        <v>0</v>
      </c>
      <c r="D498" s="102">
        <f t="shared" si="322"/>
        <v>1</v>
      </c>
      <c r="E498" s="14"/>
      <c r="F498" s="14"/>
      <c r="G498" s="14"/>
      <c r="H498" s="14"/>
      <c r="I498" s="14"/>
      <c r="J498" s="14"/>
      <c r="K498" s="100"/>
      <c r="L498" s="102">
        <f t="shared" si="323"/>
        <v>1</v>
      </c>
      <c r="M498" s="102" t="str">
        <f t="shared" ref="M498" si="364">IF(AND(C498&gt;=0.1,SUM(C499)&gt;=C498),"ok",IF(AND(C498=0,SUM(C499)=0),"ok",IF(AND(C498&gt;0.1,SUM(C499)=0),"wrong",IF(AND(C498=0,SUM(C499)&gt;0.1),"wrong"))))</f>
        <v>ok</v>
      </c>
    </row>
    <row r="499" spans="1:13">
      <c r="A499" s="110"/>
      <c r="B499" s="110" t="s">
        <v>611</v>
      </c>
      <c r="C499" s="111">
        <f>SUMIF('Ymgyfranogi Cyffredinol'!$C$4:$C$99968,"Opera",'Ymgyfranogi Cyffredinol'!$J$4:$J$99968)</f>
        <v>0</v>
      </c>
      <c r="D499" s="102">
        <f t="shared" si="322"/>
        <v>1</v>
      </c>
      <c r="E499" s="14"/>
      <c r="F499" s="14"/>
      <c r="G499" s="14"/>
      <c r="H499" s="14"/>
      <c r="I499" s="14"/>
      <c r="J499" s="14"/>
      <c r="K499" s="100"/>
      <c r="L499" s="102">
        <f t="shared" si="323"/>
        <v>1</v>
      </c>
      <c r="M499" s="102" t="str">
        <f t="shared" ref="M499" si="365">IF(C498&lt;=C499,"ok","wrong")</f>
        <v>ok</v>
      </c>
    </row>
    <row r="500" spans="1:13">
      <c r="A500" s="110"/>
      <c r="B500" s="110" t="s">
        <v>612</v>
      </c>
      <c r="C500" s="111">
        <f>SUMIF('Ymgyfranogi Cyffredinol'!$C$4:$C$99968,"Opera",'Ymgyfranogi Cyffredinol'!$F$4:$F$99968)</f>
        <v>0</v>
      </c>
      <c r="D500" s="102">
        <f t="shared" si="322"/>
        <v>1</v>
      </c>
      <c r="E500" s="14"/>
      <c r="F500" s="14"/>
      <c r="G500" s="14"/>
      <c r="H500" s="14"/>
      <c r="I500" s="14"/>
      <c r="J500" s="14"/>
      <c r="K500" s="100"/>
      <c r="L500" s="102">
        <f t="shared" si="323"/>
        <v>1</v>
      </c>
      <c r="M500" s="102" t="str">
        <f t="shared" ref="M500" si="366">IF(AND(C500&gt;=0.1,SUM(C501)&gt;=C500),"ok",IF(AND(C500=0,SUM(C501)=0),"ok",IF(AND(C500&gt;0.1,SUM(C501)=0),"wrong",IF(AND(C500=0,SUM(C501)&gt;0.1),"wrong"))))</f>
        <v>ok</v>
      </c>
    </row>
    <row r="501" spans="1:13">
      <c r="A501" s="110"/>
      <c r="B501" s="110" t="s">
        <v>613</v>
      </c>
      <c r="C501" s="111">
        <f>SUMIF('Ymgyfranogi Cyffredinol'!$C$4:$C$99968,"Opera",'Ymgyfranogi Cyffredinol'!$K$4:$K$99968)</f>
        <v>0</v>
      </c>
      <c r="D501" s="102">
        <f t="shared" si="322"/>
        <v>1</v>
      </c>
      <c r="E501" s="14"/>
      <c r="F501" s="14"/>
      <c r="G501" s="14"/>
      <c r="H501" s="14"/>
      <c r="I501" s="14"/>
      <c r="J501" s="14"/>
      <c r="K501" s="100"/>
      <c r="L501" s="102">
        <f t="shared" si="323"/>
        <v>1</v>
      </c>
      <c r="M501" s="102" t="str">
        <f t="shared" ref="M501" si="367">IF(C500&lt;=C501,"ok","wrong")</f>
        <v>ok</v>
      </c>
    </row>
    <row r="502" spans="1:13">
      <c r="A502" s="110"/>
      <c r="B502" s="110" t="s">
        <v>614</v>
      </c>
      <c r="C502" s="111">
        <f>SUMIF('Ymgyfranogi Cyffredinol'!$C$4:$C$99968,"Opera",'Ymgyfranogi Cyffredinol'!$G$4:$G$99968)</f>
        <v>0</v>
      </c>
      <c r="D502" s="102">
        <f t="shared" si="322"/>
        <v>1</v>
      </c>
      <c r="E502" s="14"/>
      <c r="F502" s="14"/>
      <c r="G502" s="14"/>
      <c r="H502" s="14"/>
      <c r="I502" s="14"/>
      <c r="J502" s="14"/>
      <c r="K502" s="100"/>
      <c r="L502" s="102">
        <f t="shared" si="323"/>
        <v>1</v>
      </c>
      <c r="M502" s="102" t="str">
        <f t="shared" ref="M502" si="368">IF(AND(C502&gt;=0.1,SUM(C503)&gt;=C502),"ok",IF(AND(C502=0,SUM(C503)=0),"ok",IF(AND(C502&gt;0.1,SUM(C503)=0),"wrong",IF(AND(C502=0,SUM(C503)&gt;0.1),"wrong"))))</f>
        <v>ok</v>
      </c>
    </row>
    <row r="503" spans="1:13">
      <c r="A503" s="110"/>
      <c r="B503" s="110" t="s">
        <v>615</v>
      </c>
      <c r="C503" s="111">
        <f>SUMIF('Ymgyfranogi Cyffredinol'!$C$4:$C$99968,"Opera",'Ymgyfranogi Cyffredinol'!$L$4:$L$99968)</f>
        <v>0</v>
      </c>
      <c r="D503" s="102">
        <f t="shared" si="322"/>
        <v>1</v>
      </c>
      <c r="E503" s="14"/>
      <c r="F503" s="14"/>
      <c r="G503" s="14"/>
      <c r="H503" s="14"/>
      <c r="I503" s="14"/>
      <c r="J503" s="14"/>
      <c r="K503" s="100"/>
      <c r="L503" s="102">
        <f t="shared" si="323"/>
        <v>1</v>
      </c>
      <c r="M503" s="102" t="str">
        <f t="shared" ref="M503" si="369">IF(C502&lt;=C503,"ok","wrong")</f>
        <v>ok</v>
      </c>
    </row>
    <row r="504" spans="1:13">
      <c r="A504" s="110"/>
      <c r="B504" s="110" t="s">
        <v>616</v>
      </c>
      <c r="C504" s="111">
        <f>SUMIF('Ymgyfranogi Cyffredinol'!$C$4:$C$99968,"Opera",'Ymgyfranogi Cyffredinol'!$H$4:$H$99968)</f>
        <v>0</v>
      </c>
      <c r="D504" s="102">
        <f t="shared" si="322"/>
        <v>1</v>
      </c>
      <c r="E504" s="14"/>
      <c r="F504" s="14"/>
      <c r="G504" s="14"/>
      <c r="H504" s="14"/>
      <c r="I504" s="14"/>
      <c r="J504" s="14"/>
      <c r="K504" s="100"/>
      <c r="L504" s="102">
        <f t="shared" si="323"/>
        <v>1</v>
      </c>
      <c r="M504" s="102" t="str">
        <f t="shared" ref="M504" si="370">IF(AND(C504&gt;=0.1,SUM(C505)&gt;=C504),"ok",IF(AND(C504=0,SUM(C505)=0),"ok",IF(AND(C504&gt;0.1,SUM(C505)=0),"wrong",IF(AND(C504=0,SUM(C505)&gt;0.1),"wrong"))))</f>
        <v>ok</v>
      </c>
    </row>
    <row r="505" spans="1:13">
      <c r="A505" s="110"/>
      <c r="B505" s="110" t="s">
        <v>617</v>
      </c>
      <c r="C505" s="111">
        <f>SUMIF('Ymgyfranogi Cyffredinol'!$C$4:$C$99968,"Opera",'Ymgyfranogi Cyffredinol'!$M$4:$M$99968)</f>
        <v>0</v>
      </c>
      <c r="D505" s="102">
        <f t="shared" si="322"/>
        <v>1</v>
      </c>
      <c r="E505" s="14"/>
      <c r="F505" s="14"/>
      <c r="G505" s="14"/>
      <c r="H505" s="14"/>
      <c r="I505" s="14"/>
      <c r="J505" s="14"/>
      <c r="K505" s="100"/>
      <c r="L505" s="102">
        <f t="shared" si="323"/>
        <v>1</v>
      </c>
      <c r="M505" s="102" t="str">
        <f t="shared" ref="M505" si="371">IF(C504&lt;=C505,"ok","wrong")</f>
        <v>ok</v>
      </c>
    </row>
    <row r="506" spans="1:13">
      <c r="A506" s="110"/>
      <c r="B506" s="110" t="s">
        <v>618</v>
      </c>
      <c r="C506" s="111">
        <f>SUMIF('Ymgyfranogi Cyffredinol'!$C$4:$C$99968,"Opera",'Ymgyfranogi Cyffredinol'!$I$4:$I$99968)</f>
        <v>0</v>
      </c>
      <c r="D506" s="102">
        <f t="shared" si="322"/>
        <v>1</v>
      </c>
      <c r="E506" s="14"/>
      <c r="F506" s="14"/>
      <c r="G506" s="14"/>
      <c r="H506" s="14"/>
      <c r="I506" s="14"/>
      <c r="J506" s="14"/>
      <c r="K506" s="100"/>
      <c r="L506" s="102">
        <f t="shared" si="323"/>
        <v>1</v>
      </c>
      <c r="M506" s="102" t="str">
        <f t="shared" ref="M506" si="372">IF(AND(C506&gt;=0.1,SUM(C507)&gt;=C506),"ok",IF(AND(C506=0,SUM(C507)=0),"ok",IF(AND(C506&gt;0.1,SUM(C507)=0),"wrong",IF(AND(C506=0,SUM(C507)&gt;0.1),"wrong"))))</f>
        <v>ok</v>
      </c>
    </row>
    <row r="507" spans="1:13">
      <c r="A507" s="110"/>
      <c r="B507" s="110" t="s">
        <v>619</v>
      </c>
      <c r="C507" s="111">
        <f>SUMIF('Ymgyfranogi Cyffredinol'!$C$4:$C$99968,"Opera",'Ymgyfranogi Cyffredinol'!$N$4:$N$99968)</f>
        <v>0</v>
      </c>
      <c r="D507" s="102">
        <f t="shared" si="322"/>
        <v>1</v>
      </c>
      <c r="E507" s="14"/>
      <c r="F507" s="14"/>
      <c r="G507" s="14"/>
      <c r="H507" s="14"/>
      <c r="I507" s="14"/>
      <c r="J507" s="14"/>
      <c r="K507" s="100"/>
      <c r="L507" s="102">
        <f t="shared" si="323"/>
        <v>1</v>
      </c>
      <c r="M507" s="102" t="str">
        <f t="shared" ref="M507" si="373">IF(C506&lt;=C507,"ok","wrong")</f>
        <v>ok</v>
      </c>
    </row>
    <row r="508" spans="1:13">
      <c r="A508" s="110" t="s">
        <v>381</v>
      </c>
      <c r="B508" s="110" t="s">
        <v>610</v>
      </c>
      <c r="C508" s="111">
        <f>SUMIF('Ymgyfranogi Cyffredinol'!$C$4:$C$99968,"Adloniant Theatr",'Ymgyfranogi Cyffredinol'!$E$4:$E$99968)</f>
        <v>0</v>
      </c>
      <c r="D508" s="102">
        <f t="shared" si="322"/>
        <v>1</v>
      </c>
      <c r="E508" s="14"/>
      <c r="F508" s="14"/>
      <c r="G508" s="14"/>
      <c r="H508" s="14"/>
      <c r="I508" s="14"/>
      <c r="J508" s="14"/>
      <c r="K508" s="100"/>
      <c r="L508" s="102">
        <f t="shared" si="323"/>
        <v>1</v>
      </c>
      <c r="M508" s="102" t="str">
        <f t="shared" ref="M508" si="374">IF(AND(C508&gt;=0.1,SUM(C509)&gt;=C508),"ok",IF(AND(C508=0,SUM(C509)=0),"ok",IF(AND(C508&gt;0.1,SUM(C509)=0),"wrong",IF(AND(C508=0,SUM(C509)&gt;0.1),"wrong"))))</f>
        <v>ok</v>
      </c>
    </row>
    <row r="509" spans="1:13">
      <c r="A509" s="110"/>
      <c r="B509" s="110" t="s">
        <v>611</v>
      </c>
      <c r="C509" s="111">
        <f>SUMIF('Ymgyfranogi Cyffredinol'!$C$4:$C$99968,"Adloniant Theatr",'Ymgyfranogi Cyffredinol'!$J$4:$J$99968)</f>
        <v>0</v>
      </c>
      <c r="D509" s="102">
        <f t="shared" si="322"/>
        <v>1</v>
      </c>
      <c r="E509" s="14"/>
      <c r="F509" s="14"/>
      <c r="G509" s="14"/>
      <c r="H509" s="14"/>
      <c r="I509" s="14"/>
      <c r="J509" s="14"/>
      <c r="K509" s="100"/>
      <c r="L509" s="102">
        <f t="shared" si="323"/>
        <v>1</v>
      </c>
      <c r="M509" s="102" t="str">
        <f t="shared" ref="M509" si="375">IF(C508&lt;=C509,"ok","wrong")</f>
        <v>ok</v>
      </c>
    </row>
    <row r="510" spans="1:13">
      <c r="A510" s="110"/>
      <c r="B510" s="110" t="s">
        <v>612</v>
      </c>
      <c r="C510" s="111">
        <f>SUMIF('Ymgyfranogi Cyffredinol'!$C$4:$C$99968,"Adloniant Theatr",'Ymgyfranogi Cyffredinol'!$F$4:$F$99968)</f>
        <v>0</v>
      </c>
      <c r="D510" s="102">
        <f t="shared" si="322"/>
        <v>1</v>
      </c>
      <c r="E510" s="14"/>
      <c r="F510" s="14"/>
      <c r="G510" s="14"/>
      <c r="H510" s="14"/>
      <c r="I510" s="14"/>
      <c r="J510" s="14"/>
      <c r="K510" s="100"/>
      <c r="L510" s="102">
        <f t="shared" si="323"/>
        <v>1</v>
      </c>
      <c r="M510" s="102" t="str">
        <f t="shared" ref="M510" si="376">IF(AND(C510&gt;=0.1,SUM(C511)&gt;=C510),"ok",IF(AND(C510=0,SUM(C511)=0),"ok",IF(AND(C510&gt;0.1,SUM(C511)=0),"wrong",IF(AND(C510=0,SUM(C511)&gt;0.1),"wrong"))))</f>
        <v>ok</v>
      </c>
    </row>
    <row r="511" spans="1:13">
      <c r="A511" s="110"/>
      <c r="B511" s="110" t="s">
        <v>613</v>
      </c>
      <c r="C511" s="111">
        <f>SUMIF('Ymgyfranogi Cyffredinol'!$C$4:$C$99968,"Adloniant Theatr",'Ymgyfranogi Cyffredinol'!$K$4:$K$99968)</f>
        <v>0</v>
      </c>
      <c r="D511" s="102">
        <f t="shared" si="322"/>
        <v>1</v>
      </c>
      <c r="E511" s="14"/>
      <c r="F511" s="14"/>
      <c r="G511" s="14"/>
      <c r="H511" s="14"/>
      <c r="I511" s="14"/>
      <c r="J511" s="14"/>
      <c r="K511" s="100"/>
      <c r="L511" s="102">
        <f t="shared" si="323"/>
        <v>1</v>
      </c>
      <c r="M511" s="102" t="str">
        <f t="shared" ref="M511" si="377">IF(C510&lt;=C511,"ok","wrong")</f>
        <v>ok</v>
      </c>
    </row>
    <row r="512" spans="1:13">
      <c r="A512" s="110"/>
      <c r="B512" s="110" t="s">
        <v>614</v>
      </c>
      <c r="C512" s="111">
        <f>SUMIF('Ymgyfranogi Cyffredinol'!$C$4:$C$99968,"Adloniant Theatr",'Ymgyfranogi Cyffredinol'!$G$4:$G$99968)</f>
        <v>0</v>
      </c>
      <c r="D512" s="102">
        <f t="shared" si="322"/>
        <v>1</v>
      </c>
      <c r="E512" s="14"/>
      <c r="F512" s="14"/>
      <c r="G512" s="14"/>
      <c r="H512" s="14"/>
      <c r="I512" s="14"/>
      <c r="J512" s="14"/>
      <c r="K512" s="100"/>
      <c r="L512" s="102">
        <f t="shared" si="323"/>
        <v>1</v>
      </c>
      <c r="M512" s="102" t="str">
        <f t="shared" ref="M512" si="378">IF(AND(C512&gt;=0.1,SUM(C513)&gt;=C512),"ok",IF(AND(C512=0,SUM(C513)=0),"ok",IF(AND(C512&gt;0.1,SUM(C513)=0),"wrong",IF(AND(C512=0,SUM(C513)&gt;0.1),"wrong"))))</f>
        <v>ok</v>
      </c>
    </row>
    <row r="513" spans="1:13">
      <c r="A513" s="110"/>
      <c r="B513" s="110" t="s">
        <v>615</v>
      </c>
      <c r="C513" s="111">
        <f>SUMIF('Ymgyfranogi Cyffredinol'!$C$4:$C$99968,"Adloniant Theatr",'Ymgyfranogi Cyffredinol'!$L$4:$L$99968)</f>
        <v>0</v>
      </c>
      <c r="D513" s="102">
        <f t="shared" si="322"/>
        <v>1</v>
      </c>
      <c r="E513" s="14"/>
      <c r="F513" s="14"/>
      <c r="G513" s="14"/>
      <c r="H513" s="14"/>
      <c r="I513" s="14"/>
      <c r="J513" s="14"/>
      <c r="K513" s="100"/>
      <c r="L513" s="102">
        <f t="shared" si="323"/>
        <v>1</v>
      </c>
      <c r="M513" s="102" t="str">
        <f t="shared" ref="M513" si="379">IF(C512&lt;=C513,"ok","wrong")</f>
        <v>ok</v>
      </c>
    </row>
    <row r="514" spans="1:13">
      <c r="A514" s="110"/>
      <c r="B514" s="110" t="s">
        <v>616</v>
      </c>
      <c r="C514" s="111">
        <f>SUMIF('Ymgyfranogi Cyffredinol'!$C$4:$C$99968,"Adloniant Theatr",'Ymgyfranogi Cyffredinol'!$H$4:$H$99968)</f>
        <v>0</v>
      </c>
      <c r="D514" s="102">
        <f t="shared" si="322"/>
        <v>1</v>
      </c>
      <c r="E514" s="14"/>
      <c r="F514" s="14"/>
      <c r="G514" s="14"/>
      <c r="H514" s="14"/>
      <c r="I514" s="14"/>
      <c r="J514" s="14"/>
      <c r="K514" s="100"/>
      <c r="L514" s="102">
        <f t="shared" si="323"/>
        <v>1</v>
      </c>
      <c r="M514" s="102" t="str">
        <f t="shared" ref="M514" si="380">IF(AND(C514&gt;=0.1,SUM(C515)&gt;=C514),"ok",IF(AND(C514=0,SUM(C515)=0),"ok",IF(AND(C514&gt;0.1,SUM(C515)=0),"wrong",IF(AND(C514=0,SUM(C515)&gt;0.1),"wrong"))))</f>
        <v>ok</v>
      </c>
    </row>
    <row r="515" spans="1:13">
      <c r="A515" s="110"/>
      <c r="B515" s="110" t="s">
        <v>617</v>
      </c>
      <c r="C515" s="111">
        <f>SUMIF('Ymgyfranogi Cyffredinol'!$C$4:$C$99968,"Adloniant Theatr",'Ymgyfranogi Cyffredinol'!$M$4:$M$99968)</f>
        <v>0</v>
      </c>
      <c r="D515" s="102">
        <f t="shared" si="322"/>
        <v>1</v>
      </c>
      <c r="E515" s="14"/>
      <c r="F515" s="14"/>
      <c r="G515" s="14"/>
      <c r="H515" s="14"/>
      <c r="I515" s="14"/>
      <c r="J515" s="14"/>
      <c r="K515" s="100"/>
      <c r="L515" s="102">
        <f t="shared" si="323"/>
        <v>1</v>
      </c>
      <c r="M515" s="102" t="str">
        <f t="shared" ref="M515" si="381">IF(C514&lt;=C515,"ok","wrong")</f>
        <v>ok</v>
      </c>
    </row>
    <row r="516" spans="1:13">
      <c r="A516" s="110"/>
      <c r="B516" s="110" t="s">
        <v>618</v>
      </c>
      <c r="C516" s="111">
        <f>SUMIF('Ymgyfranogi Cyffredinol'!$C$4:$C$99968,"Adloniant Theatr",'Ymgyfranogi Cyffredinol'!$I$4:$I$99968)</f>
        <v>0</v>
      </c>
      <c r="D516" s="102">
        <f t="shared" si="322"/>
        <v>1</v>
      </c>
      <c r="E516" s="14"/>
      <c r="F516" s="14"/>
      <c r="G516" s="14"/>
      <c r="H516" s="14"/>
      <c r="I516" s="14"/>
      <c r="J516" s="14"/>
      <c r="K516" s="100"/>
      <c r="L516" s="102">
        <f t="shared" si="323"/>
        <v>1</v>
      </c>
      <c r="M516" s="102" t="str">
        <f t="shared" ref="M516" si="382">IF(AND(C516&gt;=0.1,SUM(C517)&gt;=C516),"ok",IF(AND(C516=0,SUM(C517)=0),"ok",IF(AND(C516&gt;0.1,SUM(C517)=0),"wrong",IF(AND(C516=0,SUM(C517)&gt;0.1),"wrong"))))</f>
        <v>ok</v>
      </c>
    </row>
    <row r="517" spans="1:13">
      <c r="A517" s="110"/>
      <c r="B517" s="110" t="s">
        <v>619</v>
      </c>
      <c r="C517" s="111">
        <f>SUMIF('Ymgyfranogi Cyffredinol'!$C$4:$C$99968,"Adloniant Theatr",'Ymgyfranogi Cyffredinol'!$N$4:$N$99968)</f>
        <v>0</v>
      </c>
      <c r="D517" s="102">
        <f t="shared" si="322"/>
        <v>1</v>
      </c>
      <c r="E517" s="14"/>
      <c r="F517" s="14"/>
      <c r="G517" s="14"/>
      <c r="H517" s="14"/>
      <c r="I517" s="14"/>
      <c r="J517" s="14"/>
      <c r="K517" s="100"/>
      <c r="L517" s="102">
        <f t="shared" si="323"/>
        <v>1</v>
      </c>
      <c r="M517" s="102" t="str">
        <f t="shared" ref="M517" si="383">IF(C516&lt;=C517,"ok","wrong")</f>
        <v>ok</v>
      </c>
    </row>
    <row r="518" spans="1:13">
      <c r="A518" s="110" t="s">
        <v>293</v>
      </c>
      <c r="B518" s="110" t="s">
        <v>610</v>
      </c>
      <c r="C518" s="111">
        <f>SUMIF('Ymgyfranogi Cyffredinol'!$C$4:$C$99968,"Celfyddydau Gweledol",'Ymgyfranogi Cyffredinol'!$E$4:$E$99968)</f>
        <v>0</v>
      </c>
      <c r="D518" s="102">
        <f t="shared" si="322"/>
        <v>1</v>
      </c>
      <c r="E518" s="14"/>
      <c r="F518" s="14"/>
      <c r="G518" s="14"/>
      <c r="H518" s="14"/>
      <c r="I518" s="14"/>
      <c r="J518" s="14"/>
      <c r="K518" s="100"/>
      <c r="L518" s="102">
        <f t="shared" si="323"/>
        <v>1</v>
      </c>
      <c r="M518" s="102" t="str">
        <f t="shared" ref="M518" si="384">IF(AND(C518&gt;=0.1,SUM(C519)&gt;=C518),"ok",IF(AND(C518=0,SUM(C519)=0),"ok",IF(AND(C518&gt;0.1,SUM(C519)=0),"wrong",IF(AND(C518=0,SUM(C519)&gt;0.1),"wrong"))))</f>
        <v>ok</v>
      </c>
    </row>
    <row r="519" spans="1:13">
      <c r="A519" s="110"/>
      <c r="B519" s="110" t="s">
        <v>611</v>
      </c>
      <c r="C519" s="111">
        <f>SUMIF('Ymgyfranogi Cyffredinol'!$C$4:$C$99968,"Celfyddydau Gweledol",'Ymgyfranogi Cyffredinol'!$J$4:$J$99968)</f>
        <v>0</v>
      </c>
      <c r="D519" s="102">
        <f t="shared" si="322"/>
        <v>1</v>
      </c>
      <c r="E519" s="14"/>
      <c r="F519" s="14"/>
      <c r="G519" s="14"/>
      <c r="H519" s="14"/>
      <c r="I519" s="14"/>
      <c r="J519" s="14"/>
      <c r="K519" s="100"/>
      <c r="L519" s="102">
        <f t="shared" si="323"/>
        <v>1</v>
      </c>
      <c r="M519" s="102" t="str">
        <f t="shared" ref="M519" si="385">IF(C518&lt;=C519,"ok","wrong")</f>
        <v>ok</v>
      </c>
    </row>
    <row r="520" spans="1:13">
      <c r="A520" s="110"/>
      <c r="B520" s="110" t="s">
        <v>612</v>
      </c>
      <c r="C520" s="111">
        <f>SUMIF('Ymgyfranogi Cyffredinol'!$C$4:$C$99968,"Celfyddydau Gweledol",'Ymgyfranogi Cyffredinol'!$F$4:$F$99968)</f>
        <v>0</v>
      </c>
      <c r="D520" s="102">
        <f t="shared" si="322"/>
        <v>1</v>
      </c>
      <c r="E520" s="14"/>
      <c r="F520" s="14"/>
      <c r="G520" s="14"/>
      <c r="H520" s="14"/>
      <c r="I520" s="14"/>
      <c r="J520" s="14"/>
      <c r="K520" s="100"/>
      <c r="L520" s="102">
        <f t="shared" si="323"/>
        <v>1</v>
      </c>
      <c r="M520" s="102" t="str">
        <f t="shared" ref="M520" si="386">IF(AND(C520&gt;=0.1,SUM(C521)&gt;=C520),"ok",IF(AND(C520=0,SUM(C521)=0),"ok",IF(AND(C520&gt;0.1,SUM(C521)=0),"wrong",IF(AND(C520=0,SUM(C521)&gt;0.1),"wrong"))))</f>
        <v>ok</v>
      </c>
    </row>
    <row r="521" spans="1:13">
      <c r="A521" s="110"/>
      <c r="B521" s="110" t="s">
        <v>613</v>
      </c>
      <c r="C521" s="111">
        <f>SUMIF('Ymgyfranogi Cyffredinol'!$C$4:$C$99968,"Celfyddydau Gweledol",'Ymgyfranogi Cyffredinol'!$K$4:$K$99968)</f>
        <v>0</v>
      </c>
      <c r="D521" s="102">
        <f t="shared" si="322"/>
        <v>1</v>
      </c>
      <c r="E521" s="14"/>
      <c r="F521" s="14"/>
      <c r="G521" s="14"/>
      <c r="H521" s="14"/>
      <c r="I521" s="14"/>
      <c r="J521" s="14"/>
      <c r="K521" s="100"/>
      <c r="L521" s="102">
        <f t="shared" si="323"/>
        <v>1</v>
      </c>
      <c r="M521" s="102" t="str">
        <f t="shared" ref="M521" si="387">IF(C520&lt;=C521,"ok","wrong")</f>
        <v>ok</v>
      </c>
    </row>
    <row r="522" spans="1:13">
      <c r="A522" s="110"/>
      <c r="B522" s="110" t="s">
        <v>614</v>
      </c>
      <c r="C522" s="111">
        <f>SUMIF('Ymgyfranogi Cyffredinol'!$C$4:$C$99968,"Celfyddydau Gweledol",'Ymgyfranogi Cyffredinol'!$G$4:$G$99968)</f>
        <v>0</v>
      </c>
      <c r="D522" s="102">
        <f t="shared" ref="D522:D577" si="388">L522</f>
        <v>1</v>
      </c>
      <c r="E522" s="14"/>
      <c r="F522" s="14"/>
      <c r="G522" s="14"/>
      <c r="H522" s="14"/>
      <c r="I522" s="14"/>
      <c r="J522" s="14"/>
      <c r="K522" s="100"/>
      <c r="L522" s="102">
        <f t="shared" ref="L522:L577" si="389">IF(M522="ok",1,0)</f>
        <v>1</v>
      </c>
      <c r="M522" s="102" t="str">
        <f t="shared" ref="M522" si="390">IF(AND(C522&gt;=0.1,SUM(C523)&gt;=C522),"ok",IF(AND(C522=0,SUM(C523)=0),"ok",IF(AND(C522&gt;0.1,SUM(C523)=0),"wrong",IF(AND(C522=0,SUM(C523)&gt;0.1),"wrong"))))</f>
        <v>ok</v>
      </c>
    </row>
    <row r="523" spans="1:13">
      <c r="A523" s="110"/>
      <c r="B523" s="110" t="s">
        <v>615</v>
      </c>
      <c r="C523" s="111">
        <f>SUMIF('Ymgyfranogi Cyffredinol'!$C$4:$C$99968,"Celfyddydau Gweledol",'Ymgyfranogi Cyffredinol'!$L$4:$L$99968)</f>
        <v>0</v>
      </c>
      <c r="D523" s="102">
        <f t="shared" si="388"/>
        <v>1</v>
      </c>
      <c r="E523" s="14"/>
      <c r="F523" s="14"/>
      <c r="G523" s="14"/>
      <c r="H523" s="14"/>
      <c r="I523" s="14"/>
      <c r="J523" s="14"/>
      <c r="K523" s="100"/>
      <c r="L523" s="102">
        <f t="shared" si="389"/>
        <v>1</v>
      </c>
      <c r="M523" s="102" t="str">
        <f t="shared" ref="M523" si="391">IF(C522&lt;=C523,"ok","wrong")</f>
        <v>ok</v>
      </c>
    </row>
    <row r="524" spans="1:13">
      <c r="A524" s="110"/>
      <c r="B524" s="110" t="s">
        <v>616</v>
      </c>
      <c r="C524" s="111">
        <f>SUMIF('Ymgyfranogi Cyffredinol'!$C$4:$C$99968,"Celfyddydau Gweledol",'Ymgyfranogi Cyffredinol'!$H$4:$H$99968)</f>
        <v>0</v>
      </c>
      <c r="D524" s="102">
        <f t="shared" si="388"/>
        <v>1</v>
      </c>
      <c r="E524" s="14"/>
      <c r="F524" s="14"/>
      <c r="G524" s="14"/>
      <c r="H524" s="14"/>
      <c r="I524" s="14"/>
      <c r="J524" s="14"/>
      <c r="K524" s="100"/>
      <c r="L524" s="102">
        <f t="shared" si="389"/>
        <v>1</v>
      </c>
      <c r="M524" s="102" t="str">
        <f t="shared" ref="M524" si="392">IF(AND(C524&gt;=0.1,SUM(C525)&gt;=C524),"ok",IF(AND(C524=0,SUM(C525)=0),"ok",IF(AND(C524&gt;0.1,SUM(C525)=0),"wrong",IF(AND(C524=0,SUM(C525)&gt;0.1),"wrong"))))</f>
        <v>ok</v>
      </c>
    </row>
    <row r="525" spans="1:13">
      <c r="A525" s="110"/>
      <c r="B525" s="110" t="s">
        <v>617</v>
      </c>
      <c r="C525" s="111">
        <f>SUMIF('Ymgyfranogi Cyffredinol'!$C$4:$C$99968,"Celfyddydau Gweledol",'Ymgyfranogi Cyffredinol'!$M$4:$M$99968)</f>
        <v>0</v>
      </c>
      <c r="D525" s="102">
        <f t="shared" si="388"/>
        <v>1</v>
      </c>
      <c r="E525" s="14"/>
      <c r="F525" s="14"/>
      <c r="G525" s="14"/>
      <c r="H525" s="14"/>
      <c r="I525" s="14"/>
      <c r="J525" s="14"/>
      <c r="K525" s="100"/>
      <c r="L525" s="102">
        <f t="shared" si="389"/>
        <v>1</v>
      </c>
      <c r="M525" s="102" t="str">
        <f t="shared" ref="M525" si="393">IF(C524&lt;=C525,"ok","wrong")</f>
        <v>ok</v>
      </c>
    </row>
    <row r="526" spans="1:13">
      <c r="A526" s="110"/>
      <c r="B526" s="110" t="s">
        <v>618</v>
      </c>
      <c r="C526" s="111">
        <f>SUMIF('Ymgyfranogi Cyffredinol'!$C$4:$C$99968,"Celfyddydau Gweledol",'Ymgyfranogi Cyffredinol'!$I$4:$I$99968)</f>
        <v>0</v>
      </c>
      <c r="D526" s="102">
        <f t="shared" si="388"/>
        <v>1</v>
      </c>
      <c r="E526" s="14"/>
      <c r="F526" s="14"/>
      <c r="G526" s="14"/>
      <c r="H526" s="14"/>
      <c r="I526" s="14"/>
      <c r="J526" s="14"/>
      <c r="K526" s="100"/>
      <c r="L526" s="102">
        <f t="shared" si="389"/>
        <v>1</v>
      </c>
      <c r="M526" s="102" t="str">
        <f t="shared" ref="M526" si="394">IF(AND(C526&gt;=0.1,SUM(C527)&gt;=C526),"ok",IF(AND(C526=0,SUM(C527)=0),"ok",IF(AND(C526&gt;0.1,SUM(C527)=0),"wrong",IF(AND(C526=0,SUM(C527)&gt;0.1),"wrong"))))</f>
        <v>ok</v>
      </c>
    </row>
    <row r="527" spans="1:13">
      <c r="A527" s="110"/>
      <c r="B527" s="110" t="s">
        <v>619</v>
      </c>
      <c r="C527" s="111">
        <f>SUMIF('Ymgyfranogi Cyffredinol'!$C$4:$C$99968,"Celfyddydau Gweledol",'Ymgyfranogi Cyffredinol'!$N$4:$N$99968)</f>
        <v>0</v>
      </c>
      <c r="D527" s="102">
        <f t="shared" si="388"/>
        <v>1</v>
      </c>
      <c r="E527" s="14"/>
      <c r="F527" s="14"/>
      <c r="G527" s="14"/>
      <c r="H527" s="14"/>
      <c r="I527" s="14"/>
      <c r="J527" s="14"/>
      <c r="K527" s="100"/>
      <c r="L527" s="102">
        <f t="shared" si="389"/>
        <v>1</v>
      </c>
      <c r="M527" s="102" t="str">
        <f t="shared" ref="M527" si="395">IF(C526&lt;=C527,"ok","wrong")</f>
        <v>ok</v>
      </c>
    </row>
    <row r="528" spans="1:13">
      <c r="A528" s="110" t="s">
        <v>384</v>
      </c>
      <c r="B528" s="110" t="s">
        <v>610</v>
      </c>
      <c r="C528" s="111">
        <f>SUMIF('Ymgyfranogi Cyffredinol'!$C$4:$C$99968,"Crefft",'Ymgyfranogi Cyffredinol'!$E$4:$E$99968)</f>
        <v>0</v>
      </c>
      <c r="D528" s="102">
        <f t="shared" si="388"/>
        <v>1</v>
      </c>
      <c r="E528" s="14"/>
      <c r="F528" s="14"/>
      <c r="G528" s="14"/>
      <c r="H528" s="14"/>
      <c r="I528" s="14"/>
      <c r="J528" s="14"/>
      <c r="K528" s="100"/>
      <c r="L528" s="102">
        <f t="shared" si="389"/>
        <v>1</v>
      </c>
      <c r="M528" s="102" t="str">
        <f t="shared" ref="M528" si="396">IF(AND(C528&gt;=0.1,SUM(C529)&gt;=C528),"ok",IF(AND(C528=0,SUM(C529)=0),"ok",IF(AND(C528&gt;0.1,SUM(C529)=0),"wrong",IF(AND(C528=0,SUM(C529)&gt;0.1),"wrong"))))</f>
        <v>ok</v>
      </c>
    </row>
    <row r="529" spans="1:13">
      <c r="A529" s="110"/>
      <c r="B529" s="110" t="s">
        <v>611</v>
      </c>
      <c r="C529" s="111">
        <f>SUMIF('Ymgyfranogi Cyffredinol'!$C$4:$C$99968,"Crefft",'Ymgyfranogi Cyffredinol'!$J$4:$J$99968)</f>
        <v>0</v>
      </c>
      <c r="D529" s="102">
        <f t="shared" si="388"/>
        <v>1</v>
      </c>
      <c r="E529" s="14"/>
      <c r="F529" s="14"/>
      <c r="G529" s="14"/>
      <c r="H529" s="14"/>
      <c r="I529" s="14"/>
      <c r="J529" s="14"/>
      <c r="K529" s="100"/>
      <c r="L529" s="102">
        <f t="shared" si="389"/>
        <v>1</v>
      </c>
      <c r="M529" s="102" t="str">
        <f t="shared" ref="M529" si="397">IF(C528&lt;=C529,"ok","wrong")</f>
        <v>ok</v>
      </c>
    </row>
    <row r="530" spans="1:13">
      <c r="A530" s="110"/>
      <c r="B530" s="110" t="s">
        <v>612</v>
      </c>
      <c r="C530" s="111">
        <f>SUMIF('Ymgyfranogi Cyffredinol'!$C$4:$C$99968,"Crefft",'Ymgyfranogi Cyffredinol'!$F$4:$F$99968)</f>
        <v>0</v>
      </c>
      <c r="D530" s="102">
        <f t="shared" si="388"/>
        <v>1</v>
      </c>
      <c r="E530" s="14"/>
      <c r="F530" s="14"/>
      <c r="G530" s="14"/>
      <c r="H530" s="14"/>
      <c r="I530" s="14"/>
      <c r="J530" s="14"/>
      <c r="K530" s="100"/>
      <c r="L530" s="102">
        <f t="shared" si="389"/>
        <v>1</v>
      </c>
      <c r="M530" s="102" t="str">
        <f t="shared" ref="M530" si="398">IF(AND(C530&gt;=0.1,SUM(C531)&gt;=C530),"ok",IF(AND(C530=0,SUM(C531)=0),"ok",IF(AND(C530&gt;0.1,SUM(C531)=0),"wrong",IF(AND(C530=0,SUM(C531)&gt;0.1),"wrong"))))</f>
        <v>ok</v>
      </c>
    </row>
    <row r="531" spans="1:13">
      <c r="A531" s="110"/>
      <c r="B531" s="110" t="s">
        <v>613</v>
      </c>
      <c r="C531" s="111">
        <f>SUMIF('Ymgyfranogi Cyffredinol'!$C$4:$C$99968,"Crefft",'Ymgyfranogi Cyffredinol'!$K$4:$K$99968)</f>
        <v>0</v>
      </c>
      <c r="D531" s="102">
        <f t="shared" si="388"/>
        <v>1</v>
      </c>
      <c r="E531" s="14"/>
      <c r="F531" s="14"/>
      <c r="G531" s="14"/>
      <c r="H531" s="14"/>
      <c r="I531" s="14"/>
      <c r="J531" s="14"/>
      <c r="K531" s="100"/>
      <c r="L531" s="102">
        <f t="shared" si="389"/>
        <v>1</v>
      </c>
      <c r="M531" s="102" t="str">
        <f t="shared" ref="M531" si="399">IF(C530&lt;=C531,"ok","wrong")</f>
        <v>ok</v>
      </c>
    </row>
    <row r="532" spans="1:13">
      <c r="A532" s="110"/>
      <c r="B532" s="110" t="s">
        <v>614</v>
      </c>
      <c r="C532" s="111">
        <f>SUMIF('Ymgyfranogi Cyffredinol'!$C$4:$C$99968,"Crefft",'Ymgyfranogi Cyffredinol'!$G$4:$G$99968)</f>
        <v>0</v>
      </c>
      <c r="D532" s="102">
        <f t="shared" si="388"/>
        <v>1</v>
      </c>
      <c r="E532" s="14"/>
      <c r="F532" s="14"/>
      <c r="G532" s="14"/>
      <c r="H532" s="14"/>
      <c r="I532" s="14"/>
      <c r="J532" s="14"/>
      <c r="K532" s="100"/>
      <c r="L532" s="102">
        <f t="shared" si="389"/>
        <v>1</v>
      </c>
      <c r="M532" s="102" t="str">
        <f t="shared" ref="M532" si="400">IF(AND(C532&gt;=0.1,SUM(C533)&gt;=C532),"ok",IF(AND(C532=0,SUM(C533)=0),"ok",IF(AND(C532&gt;0.1,SUM(C533)=0),"wrong",IF(AND(C532=0,SUM(C533)&gt;0.1),"wrong"))))</f>
        <v>ok</v>
      </c>
    </row>
    <row r="533" spans="1:13">
      <c r="A533" s="110"/>
      <c r="B533" s="110" t="s">
        <v>615</v>
      </c>
      <c r="C533" s="111">
        <f>SUMIF('Ymgyfranogi Cyffredinol'!$C$4:$C$99968,"Crefft",'Ymgyfranogi Cyffredinol'!$L$4:$L$99968)</f>
        <v>0</v>
      </c>
      <c r="D533" s="102">
        <f t="shared" si="388"/>
        <v>1</v>
      </c>
      <c r="E533" s="14"/>
      <c r="F533" s="14"/>
      <c r="G533" s="14"/>
      <c r="H533" s="14"/>
      <c r="I533" s="14"/>
      <c r="J533" s="14"/>
      <c r="K533" s="100"/>
      <c r="L533" s="102">
        <f t="shared" si="389"/>
        <v>1</v>
      </c>
      <c r="M533" s="102" t="str">
        <f t="shared" ref="M533" si="401">IF(C532&lt;=C533,"ok","wrong")</f>
        <v>ok</v>
      </c>
    </row>
    <row r="534" spans="1:13">
      <c r="A534" s="110"/>
      <c r="B534" s="110" t="s">
        <v>616</v>
      </c>
      <c r="C534" s="111">
        <f>SUMIF('Ymgyfranogi Cyffredinol'!$C$4:$C$99968,"Crefft",'Ymgyfranogi Cyffredinol'!$H$4:$H$99968)</f>
        <v>0</v>
      </c>
      <c r="D534" s="102">
        <f t="shared" si="388"/>
        <v>1</v>
      </c>
      <c r="E534" s="14"/>
      <c r="F534" s="14"/>
      <c r="G534" s="14"/>
      <c r="H534" s="14"/>
      <c r="I534" s="14"/>
      <c r="J534" s="14"/>
      <c r="K534" s="100"/>
      <c r="L534" s="102">
        <f t="shared" si="389"/>
        <v>1</v>
      </c>
      <c r="M534" s="102" t="str">
        <f t="shared" ref="M534" si="402">IF(AND(C534&gt;=0.1,SUM(C535)&gt;=C534),"ok",IF(AND(C534=0,SUM(C535)=0),"ok",IF(AND(C534&gt;0.1,SUM(C535)=0),"wrong",IF(AND(C534=0,SUM(C535)&gt;0.1),"wrong"))))</f>
        <v>ok</v>
      </c>
    </row>
    <row r="535" spans="1:13">
      <c r="A535" s="110"/>
      <c r="B535" s="110" t="s">
        <v>617</v>
      </c>
      <c r="C535" s="111">
        <f>SUMIF('Ymgyfranogi Cyffredinol'!$C$4:$C$99968,"Crefft",'Ymgyfranogi Cyffredinol'!$M$4:$M$99968)</f>
        <v>0</v>
      </c>
      <c r="D535" s="102">
        <f t="shared" si="388"/>
        <v>1</v>
      </c>
      <c r="E535" s="14"/>
      <c r="F535" s="14"/>
      <c r="G535" s="14"/>
      <c r="H535" s="14"/>
      <c r="I535" s="14"/>
      <c r="J535" s="14"/>
      <c r="K535" s="100"/>
      <c r="L535" s="102">
        <f t="shared" si="389"/>
        <v>1</v>
      </c>
      <c r="M535" s="102" t="str">
        <f t="shared" ref="M535" si="403">IF(C534&lt;=C535,"ok","wrong")</f>
        <v>ok</v>
      </c>
    </row>
    <row r="536" spans="1:13">
      <c r="A536" s="110"/>
      <c r="B536" s="110" t="s">
        <v>618</v>
      </c>
      <c r="C536" s="111">
        <f>SUMIF('Ymgyfranogi Cyffredinol'!$C$4:$C$99968,"Crefft",'Ymgyfranogi Cyffredinol'!$I$4:$I$99968)</f>
        <v>0</v>
      </c>
      <c r="D536" s="102">
        <f t="shared" si="388"/>
        <v>1</v>
      </c>
      <c r="E536" s="14"/>
      <c r="F536" s="14"/>
      <c r="G536" s="14"/>
      <c r="H536" s="14"/>
      <c r="I536" s="14"/>
      <c r="J536" s="14"/>
      <c r="K536" s="100"/>
      <c r="L536" s="102">
        <f t="shared" si="389"/>
        <v>1</v>
      </c>
      <c r="M536" s="102" t="str">
        <f t="shared" ref="M536" si="404">IF(AND(C536&gt;=0.1,SUM(C537)&gt;=C536),"ok",IF(AND(C536=0,SUM(C537)=0),"ok",IF(AND(C536&gt;0.1,SUM(C537)=0),"wrong",IF(AND(C536=0,SUM(C537)&gt;0.1),"wrong"))))</f>
        <v>ok</v>
      </c>
    </row>
    <row r="537" spans="1:13">
      <c r="A537" s="110"/>
      <c r="B537" s="110" t="s">
        <v>619</v>
      </c>
      <c r="C537" s="111">
        <f>SUMIF('Ymgyfranogi Cyffredinol'!$C$4:$C$99968,"Crefft",'Ymgyfranogi Cyffredinol'!$N$4:$N$99968)</f>
        <v>0</v>
      </c>
      <c r="D537" s="102">
        <f t="shared" si="388"/>
        <v>1</v>
      </c>
      <c r="E537" s="14"/>
      <c r="F537" s="14"/>
      <c r="G537" s="14"/>
      <c r="H537" s="14"/>
      <c r="I537" s="14"/>
      <c r="J537" s="14"/>
      <c r="K537" s="100"/>
      <c r="L537" s="102">
        <f t="shared" si="389"/>
        <v>1</v>
      </c>
      <c r="M537" s="102" t="str">
        <f t="shared" ref="M537" si="405">IF(C536&lt;=C537,"ok","wrong")</f>
        <v>ok</v>
      </c>
    </row>
    <row r="538" spans="1:13">
      <c r="A538" s="110" t="s">
        <v>385</v>
      </c>
      <c r="B538" s="110" t="s">
        <v>610</v>
      </c>
      <c r="C538" s="111">
        <f>SUMIF('Ymgyfranogi Cyffredinol'!$C$4:$C$99968,"Llenyddiaeth",'Ymgyfranogi Cyffredinol'!$E$4:$E$99968)</f>
        <v>0</v>
      </c>
      <c r="D538" s="102">
        <f t="shared" si="388"/>
        <v>1</v>
      </c>
      <c r="E538" s="14"/>
      <c r="F538" s="14"/>
      <c r="G538" s="14"/>
      <c r="H538" s="14"/>
      <c r="I538" s="14"/>
      <c r="J538" s="14"/>
      <c r="K538" s="100"/>
      <c r="L538" s="102">
        <f t="shared" si="389"/>
        <v>1</v>
      </c>
      <c r="M538" s="102" t="str">
        <f t="shared" ref="M538" si="406">IF(AND(C538&gt;=0.1,SUM(C539)&gt;=C538),"ok",IF(AND(C538=0,SUM(C539)=0),"ok",IF(AND(C538&gt;0.1,SUM(C539)=0),"wrong",IF(AND(C538=0,SUM(C539)&gt;0.1),"wrong"))))</f>
        <v>ok</v>
      </c>
    </row>
    <row r="539" spans="1:13">
      <c r="A539" s="110"/>
      <c r="B539" s="110" t="s">
        <v>611</v>
      </c>
      <c r="C539" s="111">
        <f>SUMIF('Ymgyfranogi Cyffredinol'!$C$4:$C$99968,"Llenyddiaeth",'Ymgyfranogi Cyffredinol'!$J$4:$J$99968)</f>
        <v>0</v>
      </c>
      <c r="D539" s="102">
        <f t="shared" si="388"/>
        <v>1</v>
      </c>
      <c r="E539" s="14"/>
      <c r="F539" s="14"/>
      <c r="G539" s="14"/>
      <c r="H539" s="14"/>
      <c r="I539" s="14"/>
      <c r="J539" s="14"/>
      <c r="K539" s="100"/>
      <c r="L539" s="102">
        <f t="shared" si="389"/>
        <v>1</v>
      </c>
      <c r="M539" s="102" t="str">
        <f t="shared" ref="M539" si="407">IF(C538&lt;=C539,"ok","wrong")</f>
        <v>ok</v>
      </c>
    </row>
    <row r="540" spans="1:13">
      <c r="A540" s="110"/>
      <c r="B540" s="110" t="s">
        <v>612</v>
      </c>
      <c r="C540" s="111">
        <f>SUMIF('Ymgyfranogi Cyffredinol'!$C$4:$C$99968,"Llenyddiaeth",'Ymgyfranogi Cyffredinol'!$F$4:$F$99968)</f>
        <v>0</v>
      </c>
      <c r="D540" s="102">
        <f t="shared" si="388"/>
        <v>1</v>
      </c>
      <c r="E540" s="14"/>
      <c r="F540" s="14"/>
      <c r="G540" s="14"/>
      <c r="H540" s="14"/>
      <c r="I540" s="14"/>
      <c r="J540" s="14"/>
      <c r="K540" s="100"/>
      <c r="L540" s="102">
        <f t="shared" si="389"/>
        <v>1</v>
      </c>
      <c r="M540" s="102" t="str">
        <f t="shared" ref="M540" si="408">IF(AND(C540&gt;=0.1,SUM(C541)&gt;=C540),"ok",IF(AND(C540=0,SUM(C541)=0),"ok",IF(AND(C540&gt;0.1,SUM(C541)=0),"wrong",IF(AND(C540=0,SUM(C541)&gt;0.1),"wrong"))))</f>
        <v>ok</v>
      </c>
    </row>
    <row r="541" spans="1:13">
      <c r="A541" s="110"/>
      <c r="B541" s="110" t="s">
        <v>613</v>
      </c>
      <c r="C541" s="111">
        <f>SUMIF('Ymgyfranogi Cyffredinol'!$C$4:$C$99968,"Llenyddiaeth",'Ymgyfranogi Cyffredinol'!$K$4:$K$99968)</f>
        <v>0</v>
      </c>
      <c r="D541" s="102">
        <f t="shared" si="388"/>
        <v>1</v>
      </c>
      <c r="E541" s="14"/>
      <c r="F541" s="14"/>
      <c r="G541" s="14"/>
      <c r="H541" s="14"/>
      <c r="I541" s="14"/>
      <c r="J541" s="14"/>
      <c r="K541" s="100"/>
      <c r="L541" s="102">
        <f t="shared" si="389"/>
        <v>1</v>
      </c>
      <c r="M541" s="102" t="str">
        <f t="shared" ref="M541" si="409">IF(C540&lt;=C541,"ok","wrong")</f>
        <v>ok</v>
      </c>
    </row>
    <row r="542" spans="1:13">
      <c r="A542" s="110"/>
      <c r="B542" s="110" t="s">
        <v>614</v>
      </c>
      <c r="C542" s="111">
        <f>SUMIF('Ymgyfranogi Cyffredinol'!$C$4:$C$99968,"Llenyddiaeth",'Ymgyfranogi Cyffredinol'!$G$4:$G$99968)</f>
        <v>0</v>
      </c>
      <c r="D542" s="102">
        <f t="shared" si="388"/>
        <v>1</v>
      </c>
      <c r="E542" s="14"/>
      <c r="F542" s="14"/>
      <c r="G542" s="14"/>
      <c r="H542" s="14"/>
      <c r="I542" s="14"/>
      <c r="J542" s="14"/>
      <c r="K542" s="100"/>
      <c r="L542" s="102">
        <f t="shared" si="389"/>
        <v>1</v>
      </c>
      <c r="M542" s="102" t="str">
        <f t="shared" ref="M542" si="410">IF(AND(C542&gt;=0.1,SUM(C543)&gt;=C542),"ok",IF(AND(C542=0,SUM(C543)=0),"ok",IF(AND(C542&gt;0.1,SUM(C543)=0),"wrong",IF(AND(C542=0,SUM(C543)&gt;0.1),"wrong"))))</f>
        <v>ok</v>
      </c>
    </row>
    <row r="543" spans="1:13">
      <c r="A543" s="110"/>
      <c r="B543" s="110" t="s">
        <v>615</v>
      </c>
      <c r="C543" s="111">
        <f>SUMIF('Ymgyfranogi Cyffredinol'!$C$4:$C$99968,"Llenyddiaeth",'Ymgyfranogi Cyffredinol'!$L$4:$L$99968)</f>
        <v>0</v>
      </c>
      <c r="D543" s="102">
        <f t="shared" si="388"/>
        <v>1</v>
      </c>
      <c r="E543" s="14"/>
      <c r="F543" s="14"/>
      <c r="G543" s="14"/>
      <c r="H543" s="14"/>
      <c r="I543" s="14"/>
      <c r="J543" s="14"/>
      <c r="K543" s="100"/>
      <c r="L543" s="102">
        <f t="shared" si="389"/>
        <v>1</v>
      </c>
      <c r="M543" s="102" t="str">
        <f t="shared" ref="M543" si="411">IF(C542&lt;=C543,"ok","wrong")</f>
        <v>ok</v>
      </c>
    </row>
    <row r="544" spans="1:13">
      <c r="A544" s="110"/>
      <c r="B544" s="110" t="s">
        <v>616</v>
      </c>
      <c r="C544" s="111">
        <f>SUMIF('Ymgyfranogi Cyffredinol'!$C$4:$C$99968,"Llenyddiaeth",'Ymgyfranogi Cyffredinol'!$H$4:$H$99968)</f>
        <v>0</v>
      </c>
      <c r="D544" s="102">
        <f t="shared" si="388"/>
        <v>1</v>
      </c>
      <c r="E544" s="14"/>
      <c r="F544" s="14"/>
      <c r="G544" s="14"/>
      <c r="H544" s="14"/>
      <c r="I544" s="14"/>
      <c r="J544" s="14"/>
      <c r="K544" s="100"/>
      <c r="L544" s="102">
        <f t="shared" si="389"/>
        <v>1</v>
      </c>
      <c r="M544" s="102" t="str">
        <f t="shared" ref="M544" si="412">IF(AND(C544&gt;=0.1,SUM(C545)&gt;=C544),"ok",IF(AND(C544=0,SUM(C545)=0),"ok",IF(AND(C544&gt;0.1,SUM(C545)=0),"wrong",IF(AND(C544=0,SUM(C545)&gt;0.1),"wrong"))))</f>
        <v>ok</v>
      </c>
    </row>
    <row r="545" spans="1:13">
      <c r="A545" s="110"/>
      <c r="B545" s="110" t="s">
        <v>617</v>
      </c>
      <c r="C545" s="111">
        <f>SUMIF('Ymgyfranogi Cyffredinol'!$C$4:$C$99968,"Llenyddiaeth",'Ymgyfranogi Cyffredinol'!$M$4:$M$99968)</f>
        <v>0</v>
      </c>
      <c r="D545" s="102">
        <f t="shared" si="388"/>
        <v>1</v>
      </c>
      <c r="E545" s="14"/>
      <c r="F545" s="14"/>
      <c r="G545" s="14"/>
      <c r="H545" s="14"/>
      <c r="I545" s="14"/>
      <c r="J545" s="14"/>
      <c r="K545" s="100"/>
      <c r="L545" s="102">
        <f t="shared" si="389"/>
        <v>1</v>
      </c>
      <c r="M545" s="102" t="str">
        <f t="shared" ref="M545" si="413">IF(C544&lt;=C545,"ok","wrong")</f>
        <v>ok</v>
      </c>
    </row>
    <row r="546" spans="1:13">
      <c r="A546" s="110"/>
      <c r="B546" s="110" t="s">
        <v>618</v>
      </c>
      <c r="C546" s="111">
        <f>SUMIF('Ymgyfranogi Cyffredinol'!$C$4:$C$99968,"Llenyddiaeth",'Ymgyfranogi Cyffredinol'!$I$4:$I$99968)</f>
        <v>0</v>
      </c>
      <c r="D546" s="102">
        <f t="shared" si="388"/>
        <v>1</v>
      </c>
      <c r="E546" s="14"/>
      <c r="F546" s="14"/>
      <c r="G546" s="14"/>
      <c r="H546" s="14"/>
      <c r="I546" s="14"/>
      <c r="J546" s="14"/>
      <c r="K546" s="100"/>
      <c r="L546" s="102">
        <f t="shared" si="389"/>
        <v>1</v>
      </c>
      <c r="M546" s="102" t="str">
        <f t="shared" ref="M546" si="414">IF(AND(C546&gt;=0.1,SUM(C547)&gt;=C546),"ok",IF(AND(C546=0,SUM(C547)=0),"ok",IF(AND(C546&gt;0.1,SUM(C547)=0),"wrong",IF(AND(C546=0,SUM(C547)&gt;0.1),"wrong"))))</f>
        <v>ok</v>
      </c>
    </row>
    <row r="547" spans="1:13">
      <c r="A547" s="110"/>
      <c r="B547" s="110" t="s">
        <v>619</v>
      </c>
      <c r="C547" s="111">
        <f>SUMIF('Ymgyfranogi Cyffredinol'!$C$4:$C$99968,"Llenyddiaeth",'Ymgyfranogi Cyffredinol'!$N$4:$N$99968)</f>
        <v>0</v>
      </c>
      <c r="D547" s="102">
        <f t="shared" si="388"/>
        <v>1</v>
      </c>
      <c r="E547" s="14"/>
      <c r="F547" s="14"/>
      <c r="G547" s="14"/>
      <c r="H547" s="14"/>
      <c r="I547" s="14"/>
      <c r="J547" s="14"/>
      <c r="K547" s="100"/>
      <c r="L547" s="102">
        <f t="shared" si="389"/>
        <v>1</v>
      </c>
      <c r="M547" s="102" t="str">
        <f t="shared" ref="M547" si="415">IF(C546&lt;=C547,"ok","wrong")</f>
        <v>ok</v>
      </c>
    </row>
    <row r="548" spans="1:13">
      <c r="A548" s="110" t="s">
        <v>386</v>
      </c>
      <c r="B548" s="110" t="s">
        <v>610</v>
      </c>
      <c r="C548" s="111">
        <f>SUMIF('Ymgyfranogi Cyffredinol'!$C$4:$C$99968,"Celf Gyhoeddus",'Ymgyfranogi Cyffredinol'!$E$4:$E$99968)</f>
        <v>0</v>
      </c>
      <c r="D548" s="102">
        <f t="shared" si="388"/>
        <v>1</v>
      </c>
      <c r="E548" s="14"/>
      <c r="F548" s="14"/>
      <c r="G548" s="14"/>
      <c r="H548" s="14"/>
      <c r="I548" s="14"/>
      <c r="J548" s="14"/>
      <c r="K548" s="100"/>
      <c r="L548" s="102">
        <f t="shared" si="389"/>
        <v>1</v>
      </c>
      <c r="M548" s="102" t="str">
        <f t="shared" ref="M548" si="416">IF(AND(C548&gt;=0.1,SUM(C549)&gt;=C548),"ok",IF(AND(C548=0,SUM(C549)=0),"ok",IF(AND(C548&gt;0.1,SUM(C549)=0),"wrong",IF(AND(C548=0,SUM(C549)&gt;0.1),"wrong"))))</f>
        <v>ok</v>
      </c>
    </row>
    <row r="549" spans="1:13">
      <c r="A549" s="110"/>
      <c r="B549" s="110" t="s">
        <v>611</v>
      </c>
      <c r="C549" s="111">
        <f>SUMIF('Ymgyfranogi Cyffredinol'!$C$4:$C$99968,"Celf Gyhoeddus",'Ymgyfranogi Cyffredinol'!$J$4:$J$99968)</f>
        <v>0</v>
      </c>
      <c r="D549" s="102">
        <f t="shared" si="388"/>
        <v>1</v>
      </c>
      <c r="E549" s="14"/>
      <c r="F549" s="14"/>
      <c r="G549" s="14"/>
      <c r="H549" s="14"/>
      <c r="I549" s="14"/>
      <c r="J549" s="14"/>
      <c r="K549" s="100"/>
      <c r="L549" s="102">
        <f t="shared" si="389"/>
        <v>1</v>
      </c>
      <c r="M549" s="102" t="str">
        <f t="shared" ref="M549" si="417">IF(C548&lt;=C549,"ok","wrong")</f>
        <v>ok</v>
      </c>
    </row>
    <row r="550" spans="1:13">
      <c r="A550" s="110"/>
      <c r="B550" s="110" t="s">
        <v>612</v>
      </c>
      <c r="C550" s="111">
        <f>SUMIF('Ymgyfranogi Cyffredinol'!$C$4:$C$99968,"Celf Gyhoeddus",'Ymgyfranogi Cyffredinol'!$F$4:$F$99968)</f>
        <v>0</v>
      </c>
      <c r="D550" s="102">
        <f t="shared" si="388"/>
        <v>1</v>
      </c>
      <c r="E550" s="14"/>
      <c r="F550" s="14"/>
      <c r="G550" s="14"/>
      <c r="H550" s="14"/>
      <c r="I550" s="14"/>
      <c r="J550" s="14"/>
      <c r="K550" s="100"/>
      <c r="L550" s="102">
        <f t="shared" si="389"/>
        <v>1</v>
      </c>
      <c r="M550" s="102" t="str">
        <f t="shared" ref="M550" si="418">IF(AND(C550&gt;=0.1,SUM(C551)&gt;=C550),"ok",IF(AND(C550=0,SUM(C551)=0),"ok",IF(AND(C550&gt;0.1,SUM(C551)=0),"wrong",IF(AND(C550=0,SUM(C551)&gt;0.1),"wrong"))))</f>
        <v>ok</v>
      </c>
    </row>
    <row r="551" spans="1:13">
      <c r="A551" s="110"/>
      <c r="B551" s="110" t="s">
        <v>613</v>
      </c>
      <c r="C551" s="111">
        <f>SUMIF('Ymgyfranogi Cyffredinol'!$C$4:$C$99968,"Celf Gyhoeddus",'Ymgyfranogi Cyffredinol'!$K$4:$K$99968)</f>
        <v>0</v>
      </c>
      <c r="D551" s="102">
        <f t="shared" si="388"/>
        <v>1</v>
      </c>
      <c r="E551" s="14"/>
      <c r="F551" s="14"/>
      <c r="G551" s="14"/>
      <c r="H551" s="14"/>
      <c r="I551" s="14"/>
      <c r="J551" s="14"/>
      <c r="K551" s="100"/>
      <c r="L551" s="102">
        <f t="shared" si="389"/>
        <v>1</v>
      </c>
      <c r="M551" s="102" t="str">
        <f t="shared" ref="M551" si="419">IF(C550&lt;=C551,"ok","wrong")</f>
        <v>ok</v>
      </c>
    </row>
    <row r="552" spans="1:13">
      <c r="A552" s="110"/>
      <c r="B552" s="110" t="s">
        <v>614</v>
      </c>
      <c r="C552" s="111">
        <f>SUMIF('Ymgyfranogi Cyffredinol'!$C$4:$C$99968,"Celf Gyhoeddus",'Ymgyfranogi Cyffredinol'!$G$4:$G$99968)</f>
        <v>0</v>
      </c>
      <c r="D552" s="102">
        <f t="shared" si="388"/>
        <v>1</v>
      </c>
      <c r="E552" s="14"/>
      <c r="F552" s="14"/>
      <c r="G552" s="14"/>
      <c r="H552" s="14"/>
      <c r="I552" s="14"/>
      <c r="J552" s="14"/>
      <c r="K552" s="100"/>
      <c r="L552" s="102">
        <f t="shared" si="389"/>
        <v>1</v>
      </c>
      <c r="M552" s="102" t="str">
        <f t="shared" ref="M552" si="420">IF(AND(C552&gt;=0.1,SUM(C553)&gt;=C552),"ok",IF(AND(C552=0,SUM(C553)=0),"ok",IF(AND(C552&gt;0.1,SUM(C553)=0),"wrong",IF(AND(C552=0,SUM(C553)&gt;0.1),"wrong"))))</f>
        <v>ok</v>
      </c>
    </row>
    <row r="553" spans="1:13">
      <c r="A553" s="110"/>
      <c r="B553" s="110" t="s">
        <v>615</v>
      </c>
      <c r="C553" s="111">
        <f>SUMIF('Ymgyfranogi Cyffredinol'!$C$4:$C$99968,"Celf Gyhoeddus",'Ymgyfranogi Cyffredinol'!$L$4:$L$99968)</f>
        <v>0</v>
      </c>
      <c r="D553" s="102">
        <f t="shared" si="388"/>
        <v>1</v>
      </c>
      <c r="E553" s="14"/>
      <c r="F553" s="14"/>
      <c r="G553" s="14"/>
      <c r="H553" s="14"/>
      <c r="I553" s="14"/>
      <c r="J553" s="14"/>
      <c r="K553" s="100"/>
      <c r="L553" s="102">
        <f t="shared" si="389"/>
        <v>1</v>
      </c>
      <c r="M553" s="102" t="str">
        <f t="shared" ref="M553" si="421">IF(C552&lt;=C553,"ok","wrong")</f>
        <v>ok</v>
      </c>
    </row>
    <row r="554" spans="1:13">
      <c r="A554" s="110"/>
      <c r="B554" s="110" t="s">
        <v>616</v>
      </c>
      <c r="C554" s="111">
        <f>SUMIF('Ymgyfranogi Cyffredinol'!$C$4:$C$99968,"Celf Gyhoeddus",'Ymgyfranogi Cyffredinol'!$H$4:$H$99968)</f>
        <v>0</v>
      </c>
      <c r="D554" s="102">
        <f t="shared" si="388"/>
        <v>1</v>
      </c>
      <c r="E554" s="14"/>
      <c r="F554" s="14"/>
      <c r="G554" s="14"/>
      <c r="H554" s="14"/>
      <c r="I554" s="14"/>
      <c r="J554" s="14"/>
      <c r="K554" s="100"/>
      <c r="L554" s="102">
        <f t="shared" si="389"/>
        <v>1</v>
      </c>
      <c r="M554" s="102" t="str">
        <f t="shared" ref="M554" si="422">IF(AND(C554&gt;=0.1,SUM(C555)&gt;=C554),"ok",IF(AND(C554=0,SUM(C555)=0),"ok",IF(AND(C554&gt;0.1,SUM(C555)=0),"wrong",IF(AND(C554=0,SUM(C555)&gt;0.1),"wrong"))))</f>
        <v>ok</v>
      </c>
    </row>
    <row r="555" spans="1:13">
      <c r="A555" s="110"/>
      <c r="B555" s="110" t="s">
        <v>617</v>
      </c>
      <c r="C555" s="111">
        <f>SUMIF('Ymgyfranogi Cyffredinol'!$C$4:$C$99968,"Celf Gyhoeddus",'Ymgyfranogi Cyffredinol'!$M$4:$M$99968)</f>
        <v>0</v>
      </c>
      <c r="D555" s="102">
        <f t="shared" si="388"/>
        <v>1</v>
      </c>
      <c r="E555" s="14"/>
      <c r="F555" s="14"/>
      <c r="G555" s="14"/>
      <c r="H555" s="14"/>
      <c r="I555" s="14"/>
      <c r="J555" s="14"/>
      <c r="K555" s="100"/>
      <c r="L555" s="102">
        <f t="shared" si="389"/>
        <v>1</v>
      </c>
      <c r="M555" s="102" t="str">
        <f t="shared" ref="M555" si="423">IF(C554&lt;=C555,"ok","wrong")</f>
        <v>ok</v>
      </c>
    </row>
    <row r="556" spans="1:13">
      <c r="A556" s="110"/>
      <c r="B556" s="110" t="s">
        <v>618</v>
      </c>
      <c r="C556" s="111">
        <f>SUMIF('Ymgyfranogi Cyffredinol'!$C$4:$C$99968,"Celf Gyhoeddus",'Ymgyfranogi Cyffredinol'!$I$4:$I$99968)</f>
        <v>0</v>
      </c>
      <c r="D556" s="102">
        <f t="shared" si="388"/>
        <v>1</v>
      </c>
      <c r="E556" s="14"/>
      <c r="F556" s="14"/>
      <c r="G556" s="14"/>
      <c r="H556" s="14"/>
      <c r="I556" s="14"/>
      <c r="J556" s="14"/>
      <c r="K556" s="100"/>
      <c r="L556" s="102">
        <f t="shared" si="389"/>
        <v>1</v>
      </c>
      <c r="M556" s="102" t="str">
        <f t="shared" ref="M556" si="424">IF(AND(C556&gt;=0.1,SUM(C557)&gt;=C556),"ok",IF(AND(C556=0,SUM(C557)=0),"ok",IF(AND(C556&gt;0.1,SUM(C557)=0),"wrong",IF(AND(C556=0,SUM(C557)&gt;0.1),"wrong"))))</f>
        <v>ok</v>
      </c>
    </row>
    <row r="557" spans="1:13">
      <c r="A557" s="110"/>
      <c r="B557" s="110" t="s">
        <v>619</v>
      </c>
      <c r="C557" s="111">
        <f>SUMIF('Ymgyfranogi Cyffredinol'!$C$4:$C$99968,"Celf Gyhoeddus",'Ymgyfranogi Cyffredinol'!$N$4:$N$99968)</f>
        <v>0</v>
      </c>
      <c r="D557" s="102">
        <f t="shared" si="388"/>
        <v>1</v>
      </c>
      <c r="E557" s="14"/>
      <c r="F557" s="14"/>
      <c r="G557" s="14"/>
      <c r="H557" s="14"/>
      <c r="I557" s="14"/>
      <c r="J557" s="14"/>
      <c r="K557" s="100"/>
      <c r="L557" s="102">
        <f t="shared" si="389"/>
        <v>1</v>
      </c>
      <c r="M557" s="102" t="str">
        <f t="shared" ref="M557" si="425">IF(C556&lt;=C557,"ok","wrong")</f>
        <v>ok</v>
      </c>
    </row>
    <row r="558" spans="1:13">
      <c r="A558" s="110" t="s">
        <v>620</v>
      </c>
      <c r="B558" s="110" t="s">
        <v>610</v>
      </c>
      <c r="C558" s="111">
        <f>SUMIF('Ymgyfranogi Cyffredinol'!$C$4:$C$99968,"Cynhyrchu Ffilmiau",'Ymgyfranogi Cyffredinol'!$E$4:$E$99968)</f>
        <v>0</v>
      </c>
      <c r="D558" s="102">
        <f t="shared" si="388"/>
        <v>1</v>
      </c>
      <c r="E558" s="14"/>
      <c r="F558" s="14"/>
      <c r="G558" s="14"/>
      <c r="H558" s="14"/>
      <c r="I558" s="14"/>
      <c r="J558" s="14"/>
      <c r="K558" s="100"/>
      <c r="L558" s="102">
        <f t="shared" si="389"/>
        <v>1</v>
      </c>
      <c r="M558" s="102" t="str">
        <f t="shared" ref="M558" si="426">IF(AND(C558&gt;=0.1,SUM(C559)&gt;=C558),"ok",IF(AND(C558=0,SUM(C559)=0),"ok",IF(AND(C558&gt;0.1,SUM(C559)=0),"wrong",IF(AND(C558=0,SUM(C559)&gt;0.1),"wrong"))))</f>
        <v>ok</v>
      </c>
    </row>
    <row r="559" spans="1:13">
      <c r="A559" s="110"/>
      <c r="B559" s="110" t="s">
        <v>611</v>
      </c>
      <c r="C559" s="111">
        <f>SUMIF('Ymgyfranogi Cyffredinol'!$C$4:$C$99968,"Cynhyrchu Ffilmiau",'Ymgyfranogi Cyffredinol'!$J$4:$J$99968)</f>
        <v>0</v>
      </c>
      <c r="D559" s="102">
        <f t="shared" si="388"/>
        <v>1</v>
      </c>
      <c r="E559" s="14"/>
      <c r="F559" s="14"/>
      <c r="G559" s="14"/>
      <c r="H559" s="14"/>
      <c r="I559" s="14"/>
      <c r="J559" s="14"/>
      <c r="K559" s="100"/>
      <c r="L559" s="102">
        <f t="shared" si="389"/>
        <v>1</v>
      </c>
      <c r="M559" s="102" t="str">
        <f t="shared" ref="M559" si="427">IF(C558&lt;=C559,"ok","wrong")</f>
        <v>ok</v>
      </c>
    </row>
    <row r="560" spans="1:13">
      <c r="A560" s="110"/>
      <c r="B560" s="110" t="s">
        <v>612</v>
      </c>
      <c r="C560" s="111">
        <f>SUMIF('Ymgyfranogi Cyffredinol'!$C$4:$C$99968,"Cynhyrchu Ffilmiau",'Ymgyfranogi Cyffredinol'!$F$4:$F$99968)</f>
        <v>0</v>
      </c>
      <c r="D560" s="102">
        <f t="shared" si="388"/>
        <v>1</v>
      </c>
      <c r="E560" s="14"/>
      <c r="F560" s="14"/>
      <c r="G560" s="14"/>
      <c r="H560" s="14"/>
      <c r="I560" s="14"/>
      <c r="J560" s="14"/>
      <c r="K560" s="100"/>
      <c r="L560" s="102">
        <f t="shared" si="389"/>
        <v>1</v>
      </c>
      <c r="M560" s="102" t="str">
        <f t="shared" ref="M560" si="428">IF(AND(C560&gt;=0.1,SUM(C561)&gt;=C560),"ok",IF(AND(C560=0,SUM(C561)=0),"ok",IF(AND(C560&gt;0.1,SUM(C561)=0),"wrong",IF(AND(C560=0,SUM(C561)&gt;0.1),"wrong"))))</f>
        <v>ok</v>
      </c>
    </row>
    <row r="561" spans="1:13">
      <c r="A561" s="110"/>
      <c r="B561" s="110" t="s">
        <v>613</v>
      </c>
      <c r="C561" s="111">
        <f>SUMIF('Ymgyfranogi Cyffredinol'!$C$4:$C$99968,"Cynhyrchu Ffilmiau",'Ymgyfranogi Cyffredinol'!$K$4:$K$99968)</f>
        <v>0</v>
      </c>
      <c r="D561" s="102">
        <f t="shared" si="388"/>
        <v>1</v>
      </c>
      <c r="E561" s="14"/>
      <c r="F561" s="14"/>
      <c r="G561" s="14"/>
      <c r="H561" s="14"/>
      <c r="I561" s="14"/>
      <c r="J561" s="14"/>
      <c r="K561" s="100"/>
      <c r="L561" s="102">
        <f t="shared" si="389"/>
        <v>1</v>
      </c>
      <c r="M561" s="102" t="str">
        <f t="shared" ref="M561" si="429">IF(C560&lt;=C561,"ok","wrong")</f>
        <v>ok</v>
      </c>
    </row>
    <row r="562" spans="1:13">
      <c r="A562" s="110"/>
      <c r="B562" s="110" t="s">
        <v>614</v>
      </c>
      <c r="C562" s="111">
        <f>SUMIF('Ymgyfranogi Cyffredinol'!$C$4:$C$99968,"Cynhyrchu Ffilmiau",'Ymgyfranogi Cyffredinol'!$G$4:$G$99968)</f>
        <v>0</v>
      </c>
      <c r="D562" s="102">
        <f t="shared" si="388"/>
        <v>1</v>
      </c>
      <c r="E562" s="14"/>
      <c r="F562" s="14"/>
      <c r="G562" s="14"/>
      <c r="H562" s="14"/>
      <c r="I562" s="14"/>
      <c r="J562" s="14"/>
      <c r="K562" s="100"/>
      <c r="L562" s="102">
        <f t="shared" si="389"/>
        <v>1</v>
      </c>
      <c r="M562" s="102" t="str">
        <f t="shared" ref="M562" si="430">IF(AND(C562&gt;=0.1,SUM(C563)&gt;=C562),"ok",IF(AND(C562=0,SUM(C563)=0),"ok",IF(AND(C562&gt;0.1,SUM(C563)=0),"wrong",IF(AND(C562=0,SUM(C563)&gt;0.1),"wrong"))))</f>
        <v>ok</v>
      </c>
    </row>
    <row r="563" spans="1:13">
      <c r="A563" s="110"/>
      <c r="B563" s="110" t="s">
        <v>615</v>
      </c>
      <c r="C563" s="111">
        <f>SUMIF('Ymgyfranogi Cyffredinol'!$C$4:$C$99968,"Cynhyrchu Ffilmiau",'Ymgyfranogi Cyffredinol'!$L$4:$L$99968)</f>
        <v>0</v>
      </c>
      <c r="D563" s="102">
        <f t="shared" si="388"/>
        <v>1</v>
      </c>
      <c r="E563" s="14"/>
      <c r="F563" s="14"/>
      <c r="G563" s="14"/>
      <c r="H563" s="14"/>
      <c r="I563" s="14"/>
      <c r="J563" s="14"/>
      <c r="K563" s="100"/>
      <c r="L563" s="102">
        <f t="shared" si="389"/>
        <v>1</v>
      </c>
      <c r="M563" s="102" t="str">
        <f t="shared" ref="M563" si="431">IF(C562&lt;=C563,"ok","wrong")</f>
        <v>ok</v>
      </c>
    </row>
    <row r="564" spans="1:13">
      <c r="A564" s="110"/>
      <c r="B564" s="110" t="s">
        <v>616</v>
      </c>
      <c r="C564" s="111">
        <f>SUMIF('Ymgyfranogi Cyffredinol'!$C$4:$C$99968,"Cynhyrchu Ffilmiau",'Ymgyfranogi Cyffredinol'!$H$4:$H$99968)</f>
        <v>0</v>
      </c>
      <c r="D564" s="102">
        <f t="shared" si="388"/>
        <v>1</v>
      </c>
      <c r="E564" s="14"/>
      <c r="F564" s="14"/>
      <c r="G564" s="14"/>
      <c r="H564" s="14"/>
      <c r="I564" s="14"/>
      <c r="J564" s="14"/>
      <c r="K564" s="100"/>
      <c r="L564" s="102">
        <f t="shared" si="389"/>
        <v>1</v>
      </c>
      <c r="M564" s="102" t="str">
        <f t="shared" ref="M564" si="432">IF(AND(C564&gt;=0.1,SUM(C565)&gt;=C564),"ok",IF(AND(C564=0,SUM(C565)=0),"ok",IF(AND(C564&gt;0.1,SUM(C565)=0),"wrong",IF(AND(C564=0,SUM(C565)&gt;0.1),"wrong"))))</f>
        <v>ok</v>
      </c>
    </row>
    <row r="565" spans="1:13">
      <c r="A565" s="110"/>
      <c r="B565" s="110" t="s">
        <v>617</v>
      </c>
      <c r="C565" s="111">
        <f>SUMIF('Ymgyfranogi Cyffredinol'!$C$4:$C$99968,"Cynhyrchu Ffilmiau",'Ymgyfranogi Cyffredinol'!$M$4:$M$99968)</f>
        <v>0</v>
      </c>
      <c r="D565" s="102">
        <f t="shared" si="388"/>
        <v>1</v>
      </c>
      <c r="E565" s="14"/>
      <c r="F565" s="14"/>
      <c r="G565" s="14"/>
      <c r="H565" s="14"/>
      <c r="I565" s="14"/>
      <c r="J565" s="14"/>
      <c r="K565" s="100"/>
      <c r="L565" s="102">
        <f t="shared" si="389"/>
        <v>1</v>
      </c>
      <c r="M565" s="102" t="str">
        <f t="shared" ref="M565" si="433">IF(C564&lt;=C565,"ok","wrong")</f>
        <v>ok</v>
      </c>
    </row>
    <row r="566" spans="1:13">
      <c r="A566" s="110"/>
      <c r="B566" s="110" t="s">
        <v>618</v>
      </c>
      <c r="C566" s="111">
        <f>SUMIF('Ymgyfranogi Cyffredinol'!$C$4:$C$99968,"Cynhyrchu Ffilmiau",'Ymgyfranogi Cyffredinol'!$I$4:$I$99968)</f>
        <v>0</v>
      </c>
      <c r="D566" s="102">
        <f t="shared" si="388"/>
        <v>1</v>
      </c>
      <c r="E566" s="14"/>
      <c r="F566" s="14"/>
      <c r="G566" s="14"/>
      <c r="H566" s="14"/>
      <c r="I566" s="14"/>
      <c r="J566" s="14"/>
      <c r="K566" s="100"/>
      <c r="L566" s="102">
        <f t="shared" si="389"/>
        <v>1</v>
      </c>
      <c r="M566" s="102" t="str">
        <f t="shared" ref="M566" si="434">IF(AND(C566&gt;=0.1,SUM(C567)&gt;=C566),"ok",IF(AND(C566=0,SUM(C567)=0),"ok",IF(AND(C566&gt;0.1,SUM(C567)=0),"wrong",IF(AND(C566=0,SUM(C567)&gt;0.1),"wrong"))))</f>
        <v>ok</v>
      </c>
    </row>
    <row r="567" spans="1:13">
      <c r="A567" s="110"/>
      <c r="B567" s="110" t="s">
        <v>619</v>
      </c>
      <c r="C567" s="111">
        <f>SUMIF('Ymgyfranogi Cyffredinol'!$C$4:$C$99968,"Cynhyrchu Ffilmiau",'Ymgyfranogi Cyffredinol'!$N$4:$N$99968)</f>
        <v>0</v>
      </c>
      <c r="D567" s="102">
        <f t="shared" si="388"/>
        <v>1</v>
      </c>
      <c r="E567" s="14"/>
      <c r="F567" s="14"/>
      <c r="G567" s="14"/>
      <c r="H567" s="14"/>
      <c r="I567" s="14"/>
      <c r="J567" s="14"/>
      <c r="K567" s="100"/>
      <c r="L567" s="102">
        <f t="shared" si="389"/>
        <v>1</v>
      </c>
      <c r="M567" s="102" t="str">
        <f t="shared" ref="M567" si="435">IF(C566&lt;=C567,"ok","wrong")</f>
        <v>ok</v>
      </c>
    </row>
    <row r="568" spans="1:13">
      <c r="A568" s="110" t="s">
        <v>170</v>
      </c>
      <c r="B568" s="110" t="s">
        <v>610</v>
      </c>
      <c r="C568" s="111">
        <f>SUMIF('Ymgyfranogi Cyffredinol'!$C$4:$C$99968,"Arall",'Ymgyfranogi Cyffredinol'!$E$4:$E$99968)</f>
        <v>0</v>
      </c>
      <c r="D568" s="102">
        <f t="shared" si="388"/>
        <v>1</v>
      </c>
      <c r="E568" s="14"/>
      <c r="F568" s="14"/>
      <c r="G568" s="14"/>
      <c r="H568" s="14"/>
      <c r="I568" s="14"/>
      <c r="J568" s="14"/>
      <c r="K568" s="100"/>
      <c r="L568" s="102">
        <f t="shared" si="389"/>
        <v>1</v>
      </c>
      <c r="M568" s="102" t="str">
        <f t="shared" ref="M568" si="436">IF(AND(C568&gt;=0.1,SUM(C569)&gt;=C568),"ok",IF(AND(C568=0,SUM(C569)=0),"ok",IF(AND(C568&gt;0.1,SUM(C569)=0),"wrong",IF(AND(C568=0,SUM(C569)&gt;0.1),"wrong"))))</f>
        <v>ok</v>
      </c>
    </row>
    <row r="569" spans="1:13">
      <c r="A569" s="110"/>
      <c r="B569" s="110" t="s">
        <v>611</v>
      </c>
      <c r="C569" s="111">
        <f>SUMIF('Ymgyfranogi Cyffredinol'!$C$4:$C$99968,"Arall",'Ymgyfranogi Cyffredinol'!$J$4:$J$99968)</f>
        <v>0</v>
      </c>
      <c r="D569" s="102">
        <f t="shared" si="388"/>
        <v>1</v>
      </c>
      <c r="E569" s="14"/>
      <c r="F569" s="14"/>
      <c r="G569" s="14"/>
      <c r="H569" s="14"/>
      <c r="I569" s="14"/>
      <c r="J569" s="14"/>
      <c r="K569" s="100"/>
      <c r="L569" s="102">
        <f t="shared" si="389"/>
        <v>1</v>
      </c>
      <c r="M569" s="102" t="str">
        <f t="shared" ref="M569" si="437">IF(C568&lt;=C569,"ok","wrong")</f>
        <v>ok</v>
      </c>
    </row>
    <row r="570" spans="1:13">
      <c r="A570" s="110"/>
      <c r="B570" s="110" t="s">
        <v>612</v>
      </c>
      <c r="C570" s="111">
        <f>SUMIF('Ymgyfranogi Cyffredinol'!$C$4:$C$99968,"Arall",'Ymgyfranogi Cyffredinol'!$F$4:$F$99968)</f>
        <v>0</v>
      </c>
      <c r="D570" s="102">
        <f t="shared" si="388"/>
        <v>1</v>
      </c>
      <c r="E570" s="14"/>
      <c r="F570" s="14"/>
      <c r="G570" s="14"/>
      <c r="H570" s="14"/>
      <c r="I570" s="14"/>
      <c r="J570" s="14"/>
      <c r="K570" s="100"/>
      <c r="L570" s="102">
        <f t="shared" si="389"/>
        <v>1</v>
      </c>
      <c r="M570" s="102" t="str">
        <f t="shared" ref="M570" si="438">IF(AND(C570&gt;=0.1,SUM(C571)&gt;=C570),"ok",IF(AND(C570=0,SUM(C571)=0),"ok",IF(AND(C570&gt;0.1,SUM(C571)=0),"wrong",IF(AND(C570=0,SUM(C571)&gt;0.1),"wrong"))))</f>
        <v>ok</v>
      </c>
    </row>
    <row r="571" spans="1:13">
      <c r="A571" s="110"/>
      <c r="B571" s="110" t="s">
        <v>613</v>
      </c>
      <c r="C571" s="111">
        <f>SUMIF('Ymgyfranogi Cyffredinol'!$C$4:$C$99968,"Arall",'Ymgyfranogi Cyffredinol'!$K$4:$K$99968)</f>
        <v>0</v>
      </c>
      <c r="D571" s="102">
        <f t="shared" si="388"/>
        <v>1</v>
      </c>
      <c r="E571" s="14"/>
      <c r="F571" s="14"/>
      <c r="G571" s="14"/>
      <c r="H571" s="14"/>
      <c r="I571" s="14"/>
      <c r="J571" s="14"/>
      <c r="K571" s="100"/>
      <c r="L571" s="102">
        <f t="shared" si="389"/>
        <v>1</v>
      </c>
      <c r="M571" s="102" t="str">
        <f t="shared" ref="M571" si="439">IF(C570&lt;=C571,"ok","wrong")</f>
        <v>ok</v>
      </c>
    </row>
    <row r="572" spans="1:13">
      <c r="A572" s="110"/>
      <c r="B572" s="110" t="s">
        <v>614</v>
      </c>
      <c r="C572" s="111">
        <f>SUMIF('Ymgyfranogi Cyffredinol'!$C$4:$C$99968,"Arall",'Ymgyfranogi Cyffredinol'!$G$4:$G$99968)</f>
        <v>0</v>
      </c>
      <c r="D572" s="102">
        <f t="shared" si="388"/>
        <v>1</v>
      </c>
      <c r="E572" s="14"/>
      <c r="F572" s="14"/>
      <c r="G572" s="14"/>
      <c r="H572" s="14"/>
      <c r="I572" s="14"/>
      <c r="J572" s="14"/>
      <c r="K572" s="100"/>
      <c r="L572" s="102">
        <f t="shared" si="389"/>
        <v>1</v>
      </c>
      <c r="M572" s="102" t="str">
        <f t="shared" ref="M572" si="440">IF(AND(C572&gt;=0.1,SUM(C573)&gt;=C572),"ok",IF(AND(C572=0,SUM(C573)=0),"ok",IF(AND(C572&gt;0.1,SUM(C573)=0),"wrong",IF(AND(C572=0,SUM(C573)&gt;0.1),"wrong"))))</f>
        <v>ok</v>
      </c>
    </row>
    <row r="573" spans="1:13">
      <c r="A573" s="110"/>
      <c r="B573" s="110" t="s">
        <v>615</v>
      </c>
      <c r="C573" s="111">
        <f>SUMIF('Ymgyfranogi Cyffredinol'!$C$4:$C$99968,"Arall",'Ymgyfranogi Cyffredinol'!$L$4:$L$99968)</f>
        <v>0</v>
      </c>
      <c r="D573" s="102">
        <f t="shared" si="388"/>
        <v>1</v>
      </c>
      <c r="E573" s="14"/>
      <c r="F573" s="14"/>
      <c r="G573" s="14"/>
      <c r="H573" s="14"/>
      <c r="I573" s="14"/>
      <c r="J573" s="14"/>
      <c r="K573" s="100"/>
      <c r="L573" s="102">
        <f t="shared" si="389"/>
        <v>1</v>
      </c>
      <c r="M573" s="102" t="str">
        <f t="shared" ref="M573" si="441">IF(C572&lt;=C573,"ok","wrong")</f>
        <v>ok</v>
      </c>
    </row>
    <row r="574" spans="1:13">
      <c r="A574" s="110"/>
      <c r="B574" s="110" t="s">
        <v>616</v>
      </c>
      <c r="C574" s="111">
        <f>SUMIF('Ymgyfranogi Cyffredinol'!$C$4:$C$99968,"Arall",'Ymgyfranogi Cyffredinol'!$H$4:$H$99968)</f>
        <v>0</v>
      </c>
      <c r="D574" s="102">
        <f t="shared" si="388"/>
        <v>1</v>
      </c>
      <c r="E574" s="14"/>
      <c r="F574" s="14"/>
      <c r="G574" s="14"/>
      <c r="H574" s="14"/>
      <c r="I574" s="14"/>
      <c r="J574" s="14"/>
      <c r="K574" s="100"/>
      <c r="L574" s="102">
        <f t="shared" si="389"/>
        <v>1</v>
      </c>
      <c r="M574" s="102" t="str">
        <f t="shared" ref="M574" si="442">IF(AND(C574&gt;=0.1,SUM(C575)&gt;=C574),"ok",IF(AND(C574=0,SUM(C575)=0),"ok",IF(AND(C574&gt;0.1,SUM(C575)=0),"wrong",IF(AND(C574=0,SUM(C575)&gt;0.1),"wrong"))))</f>
        <v>ok</v>
      </c>
    </row>
    <row r="575" spans="1:13">
      <c r="A575" s="110"/>
      <c r="B575" s="110" t="s">
        <v>617</v>
      </c>
      <c r="C575" s="111">
        <f>SUMIF('Ymgyfranogi Cyffredinol'!$C$4:$C$99968,"Arall",'Ymgyfranogi Cyffredinol'!$M$4:$M$99968)</f>
        <v>0</v>
      </c>
      <c r="D575" s="102">
        <f t="shared" si="388"/>
        <v>1</v>
      </c>
      <c r="E575" s="14"/>
      <c r="F575" s="14"/>
      <c r="G575" s="14"/>
      <c r="H575" s="14"/>
      <c r="I575" s="14"/>
      <c r="J575" s="14"/>
      <c r="K575" s="100"/>
      <c r="L575" s="102">
        <f t="shared" si="389"/>
        <v>1</v>
      </c>
      <c r="M575" s="102" t="str">
        <f t="shared" ref="M575" si="443">IF(C574&lt;=C575,"ok","wrong")</f>
        <v>ok</v>
      </c>
    </row>
    <row r="576" spans="1:13">
      <c r="A576" s="110"/>
      <c r="B576" s="110" t="s">
        <v>618</v>
      </c>
      <c r="C576" s="111">
        <f>SUMIF('Ymgyfranogi Cyffredinol'!$C$4:$C$99968,"Arall",'Ymgyfranogi Cyffredinol'!$I$4:$I$99968)</f>
        <v>0</v>
      </c>
      <c r="D576" s="102">
        <f t="shared" si="388"/>
        <v>1</v>
      </c>
      <c r="E576" s="14"/>
      <c r="F576" s="14"/>
      <c r="G576" s="14"/>
      <c r="H576" s="14"/>
      <c r="I576" s="14"/>
      <c r="J576" s="14"/>
      <c r="K576" s="100"/>
      <c r="L576" s="102">
        <f t="shared" si="389"/>
        <v>1</v>
      </c>
      <c r="M576" s="102" t="str">
        <f t="shared" ref="M576" si="444">IF(AND(C576&gt;=0.1,SUM(C577)&gt;=C576),"ok",IF(AND(C576=0,SUM(C577)=0),"ok",IF(AND(C576&gt;0.1,SUM(C577)=0),"wrong",IF(AND(C576=0,SUM(C577)&gt;0.1),"wrong"))))</f>
        <v>ok</v>
      </c>
    </row>
    <row r="577" spans="1:13">
      <c r="A577" s="110"/>
      <c r="B577" s="110" t="s">
        <v>619</v>
      </c>
      <c r="C577" s="111">
        <f>SUMIF('Ymgyfranogi Cyffredinol'!$C$4:$C$99968,"Arall",'Ymgyfranogi Cyffredinol'!$N$4:$N$99968)</f>
        <v>0</v>
      </c>
      <c r="D577" s="102">
        <f t="shared" si="388"/>
        <v>1</v>
      </c>
      <c r="E577" s="14"/>
      <c r="F577" s="14"/>
      <c r="G577" s="14"/>
      <c r="H577" s="14"/>
      <c r="I577" s="14"/>
      <c r="J577" s="14"/>
      <c r="K577" s="100"/>
      <c r="L577" s="102">
        <f t="shared" si="389"/>
        <v>1</v>
      </c>
      <c r="M577" s="102" t="str">
        <f t="shared" ref="M577" si="445">IF(C576&lt;=C577,"ok","wrong")</f>
        <v>ok</v>
      </c>
    </row>
    <row r="578" spans="1:13">
      <c r="A578" s="110" t="s">
        <v>631</v>
      </c>
      <c r="B578" s="112" t="s">
        <v>491</v>
      </c>
      <c r="C578" s="111">
        <f>COUNTIF('Ymgyfranogi Cyffredinol'!$Q:$Q,"Do")</f>
        <v>0</v>
      </c>
      <c r="D578" s="14"/>
      <c r="E578" s="14"/>
      <c r="F578" s="14"/>
      <c r="G578" s="14"/>
      <c r="H578" s="14"/>
      <c r="I578" s="14"/>
      <c r="J578" s="14"/>
      <c r="K578" s="100"/>
      <c r="L578" s="102"/>
      <c r="M578" s="102"/>
    </row>
    <row r="579" spans="1:13">
      <c r="A579" s="110"/>
      <c r="B579" s="112" t="s">
        <v>585</v>
      </c>
      <c r="C579" s="111">
        <f>COUNTIF('Ymgyfranogi Cyffredinol'!$R:$R,"Do")</f>
        <v>0</v>
      </c>
      <c r="D579" s="14"/>
      <c r="E579" s="14"/>
      <c r="F579" s="14"/>
      <c r="G579" s="14"/>
      <c r="H579" s="14"/>
      <c r="I579" s="14"/>
      <c r="J579" s="14"/>
      <c r="K579" s="100"/>
      <c r="L579" s="102"/>
      <c r="M579" s="102"/>
    </row>
    <row r="580" spans="1:13">
      <c r="A580" s="110"/>
      <c r="B580" s="112" t="s">
        <v>90</v>
      </c>
      <c r="C580" s="111" t="s">
        <v>634</v>
      </c>
      <c r="D580" s="14"/>
      <c r="E580" s="14"/>
      <c r="F580" s="14"/>
      <c r="G580" s="14"/>
      <c r="H580" s="14"/>
      <c r="I580" s="14"/>
      <c r="J580" s="14"/>
      <c r="K580" s="100"/>
      <c r="L580" s="102"/>
      <c r="M580" s="102"/>
    </row>
    <row r="581" spans="1:13">
      <c r="A581" s="110"/>
      <c r="B581" s="112" t="s">
        <v>586</v>
      </c>
      <c r="C581" s="111">
        <f>COUNTIF('Ymgyfranogi Cyffredinol'!$S:$S,"Do")</f>
        <v>0</v>
      </c>
      <c r="D581" s="14"/>
      <c r="E581" s="14"/>
      <c r="F581" s="14"/>
      <c r="G581" s="14"/>
      <c r="H581" s="14"/>
      <c r="I581" s="14"/>
      <c r="J581" s="14"/>
      <c r="K581" s="100"/>
      <c r="L581" s="102"/>
      <c r="M581" s="102"/>
    </row>
    <row r="582" spans="1:13">
      <c r="A582" s="110"/>
      <c r="B582" s="112" t="s">
        <v>587</v>
      </c>
      <c r="C582" s="111">
        <f>COUNTIF('Ymgyfranogi Cyffredinol'!$T:$T,"Do")</f>
        <v>0</v>
      </c>
      <c r="D582" s="14"/>
      <c r="E582" s="14"/>
      <c r="F582" s="14"/>
      <c r="G582" s="14"/>
      <c r="H582" s="14"/>
      <c r="I582" s="14"/>
      <c r="J582" s="14"/>
      <c r="K582" s="100"/>
      <c r="L582" s="102"/>
      <c r="M582" s="102"/>
    </row>
    <row r="583" spans="1:13">
      <c r="A583" s="110"/>
      <c r="B583" s="112" t="s">
        <v>588</v>
      </c>
      <c r="C583" s="111">
        <f>COUNTIF('Ymgyfranogi Cyffredinol'!$U:$U,"Do")</f>
        <v>0</v>
      </c>
      <c r="D583" s="14"/>
      <c r="E583" s="14"/>
      <c r="F583" s="14"/>
      <c r="G583" s="14"/>
      <c r="H583" s="14"/>
      <c r="I583" s="14"/>
      <c r="J583" s="14"/>
      <c r="K583" s="100"/>
      <c r="L583" s="102"/>
      <c r="M583" s="102"/>
    </row>
    <row r="584" spans="1:13">
      <c r="A584" s="110"/>
      <c r="B584" s="112" t="s">
        <v>589</v>
      </c>
      <c r="C584" s="111">
        <f>COUNTIF('Ymgyfranogi Cyffredinol'!$V:$V,"Do")</f>
        <v>0</v>
      </c>
      <c r="D584" s="14"/>
      <c r="E584" s="14"/>
      <c r="F584" s="14"/>
      <c r="G584" s="14"/>
      <c r="H584" s="14"/>
      <c r="I584" s="14"/>
      <c r="J584" s="14"/>
      <c r="K584" s="100"/>
      <c r="L584" s="102"/>
      <c r="M584" s="102"/>
    </row>
    <row r="585" spans="1:13">
      <c r="A585" s="110"/>
      <c r="B585" s="112" t="s">
        <v>590</v>
      </c>
      <c r="C585" s="111">
        <f>COUNTIF('Ymgyfranogi Cyffredinol'!$W:$W,"Do")</f>
        <v>0</v>
      </c>
      <c r="D585" s="14"/>
      <c r="E585" s="14"/>
      <c r="F585" s="14"/>
      <c r="G585" s="14"/>
      <c r="H585" s="14"/>
      <c r="I585" s="14"/>
      <c r="J585" s="14"/>
      <c r="K585" s="100"/>
      <c r="L585" s="102"/>
      <c r="M585" s="102"/>
    </row>
    <row r="586" spans="1:13">
      <c r="A586" s="110"/>
      <c r="B586" s="112" t="s">
        <v>96</v>
      </c>
      <c r="C586" s="111">
        <f>COUNTIF('Ymgyfranogi Cyffredinol'!$X:$X,"Do")</f>
        <v>0</v>
      </c>
      <c r="D586" s="14"/>
      <c r="E586" s="14"/>
      <c r="F586" s="14"/>
      <c r="G586" s="14"/>
      <c r="H586" s="14"/>
      <c r="I586" s="14"/>
      <c r="J586" s="14"/>
      <c r="K586" s="100"/>
      <c r="L586" s="102"/>
      <c r="M586" s="102"/>
    </row>
    <row r="587" spans="1:13">
      <c r="A587" s="110"/>
      <c r="B587" s="112" t="s">
        <v>97</v>
      </c>
      <c r="C587" s="111">
        <f>COUNTIF('Ymgyfranogi Cyffredinol'!$Y:$Y,"Do")</f>
        <v>0</v>
      </c>
      <c r="D587" s="14"/>
      <c r="E587" s="14"/>
      <c r="F587" s="14"/>
      <c r="G587" s="14"/>
      <c r="H587" s="14"/>
      <c r="I587" s="14"/>
      <c r="J587" s="14"/>
      <c r="K587" s="100"/>
      <c r="L587" s="102"/>
      <c r="M587" s="102"/>
    </row>
    <row r="588" spans="1:13">
      <c r="A588" s="112" t="s">
        <v>635</v>
      </c>
      <c r="B588" s="112" t="s">
        <v>593</v>
      </c>
      <c r="C588" s="111">
        <f>COUNTIF('Ymgyfranogi Cyffredinol'!$Z$4:$Z$99968,"Do")</f>
        <v>0</v>
      </c>
      <c r="D588" s="14"/>
      <c r="E588" s="14"/>
      <c r="F588" s="14"/>
      <c r="G588" s="14"/>
      <c r="H588" s="14"/>
      <c r="I588" s="14"/>
      <c r="J588" s="14"/>
      <c r="K588" s="100"/>
      <c r="L588" s="102"/>
      <c r="M588" s="102"/>
    </row>
    <row r="589" spans="1:13">
      <c r="A589" s="112"/>
      <c r="B589" s="112" t="s">
        <v>594</v>
      </c>
      <c r="C589" s="111">
        <f>COUNTIF('Ymgyfranogi Cyffredinol'!$AA$4:$AA$99968,"Do")</f>
        <v>0</v>
      </c>
      <c r="D589" s="14"/>
      <c r="E589" s="14"/>
      <c r="F589" s="14"/>
      <c r="G589" s="14"/>
      <c r="H589" s="14"/>
      <c r="I589" s="14"/>
      <c r="J589" s="14"/>
      <c r="K589" s="100"/>
      <c r="L589" s="102"/>
      <c r="M589" s="102"/>
    </row>
    <row r="590" spans="1:13">
      <c r="A590" s="112"/>
      <c r="B590" s="112" t="s">
        <v>595</v>
      </c>
      <c r="C590" s="111">
        <f>COUNTIF('Ymgyfranogi Cyffredinol'!$AB$4:$AB$99968,"Do")</f>
        <v>0</v>
      </c>
      <c r="D590" s="14"/>
      <c r="E590" s="14"/>
      <c r="F590" s="14"/>
      <c r="G590" s="14"/>
      <c r="H590" s="14"/>
      <c r="I590" s="14"/>
      <c r="J590" s="14"/>
      <c r="K590" s="100"/>
      <c r="L590" s="102"/>
      <c r="M590" s="102"/>
    </row>
    <row r="591" spans="1:13">
      <c r="A591" s="112"/>
      <c r="B591" s="112" t="s">
        <v>596</v>
      </c>
      <c r="C591" s="111">
        <f>COUNTIF('Ymgyfranogi Cyffredinol'!$AC$4:$AC$99968,"Do")</f>
        <v>0</v>
      </c>
      <c r="D591" s="14"/>
      <c r="E591" s="14"/>
      <c r="F591" s="14"/>
      <c r="G591" s="14"/>
      <c r="H591" s="14"/>
      <c r="I591" s="14"/>
      <c r="J591" s="14"/>
      <c r="K591" s="100"/>
      <c r="L591" s="102"/>
      <c r="M591" s="102"/>
    </row>
    <row r="592" spans="1:13">
      <c r="A592" s="112"/>
      <c r="B592" s="112" t="s">
        <v>597</v>
      </c>
      <c r="C592" s="111">
        <f>COUNTIF('Ymgyfranogi Cyffredinol'!$AD$4:$AD$99968,"Do")</f>
        <v>0</v>
      </c>
      <c r="D592" s="14"/>
      <c r="E592" s="14"/>
      <c r="F592" s="14"/>
      <c r="G592" s="14"/>
      <c r="H592" s="14"/>
      <c r="I592" s="14"/>
      <c r="J592" s="14"/>
      <c r="K592" s="100"/>
      <c r="L592" s="102"/>
      <c r="M592" s="102"/>
    </row>
    <row r="593" spans="1:13" ht="29">
      <c r="A593" s="112"/>
      <c r="B593" s="112" t="s">
        <v>598</v>
      </c>
      <c r="C593" s="111">
        <f>COUNTIF('Ymgyfranogi Cyffredinol'!$AE$4:$AE$99968,"Do")</f>
        <v>0</v>
      </c>
      <c r="D593" s="14"/>
      <c r="E593" s="14"/>
      <c r="F593" s="14"/>
      <c r="G593" s="14"/>
      <c r="H593" s="14"/>
      <c r="I593" s="14"/>
      <c r="J593" s="14"/>
      <c r="K593" s="100"/>
      <c r="L593" s="102"/>
      <c r="M593" s="102"/>
    </row>
    <row r="594" spans="1:13" ht="29">
      <c r="A594" s="112" t="s">
        <v>636</v>
      </c>
      <c r="B594" s="110" t="s">
        <v>83</v>
      </c>
      <c r="C594" s="111">
        <f>SUM('Ymgyfranogi Cyffredinol'!$AF$4:$AF$99968)</f>
        <v>0</v>
      </c>
      <c r="D594" s="14"/>
      <c r="E594" s="14"/>
      <c r="F594" s="14"/>
      <c r="G594" s="14"/>
      <c r="H594" s="14"/>
      <c r="I594" s="14"/>
      <c r="J594" s="14"/>
      <c r="K594" s="100"/>
      <c r="L594" s="102"/>
      <c r="M594" s="102"/>
    </row>
    <row r="595" spans="1:13">
      <c r="A595" s="110"/>
      <c r="B595" s="110" t="s">
        <v>84</v>
      </c>
      <c r="C595" s="111">
        <f>SUM('Ymgyfranogi Cyffredinol'!$AG$4:$AG$99968)</f>
        <v>0</v>
      </c>
      <c r="D595" s="14"/>
      <c r="E595" s="14"/>
      <c r="F595" s="14"/>
      <c r="G595" s="14"/>
      <c r="H595" s="14"/>
      <c r="I595" s="14"/>
      <c r="J595" s="14"/>
      <c r="K595" s="100"/>
      <c r="L595" s="102"/>
      <c r="M595" s="102"/>
    </row>
    <row r="596" spans="1:13">
      <c r="A596" s="110"/>
      <c r="B596" s="110" t="s">
        <v>170</v>
      </c>
      <c r="C596" s="111">
        <f>SUM('Ymgyfranogi Cyffredinol'!$AH$4:$AH$99968)</f>
        <v>0</v>
      </c>
      <c r="D596" s="14"/>
      <c r="E596" s="14"/>
      <c r="F596" s="14"/>
      <c r="G596" s="14"/>
      <c r="H596" s="14"/>
      <c r="I596" s="14"/>
      <c r="J596" s="14"/>
      <c r="K596" s="100"/>
      <c r="L596" s="102"/>
      <c r="M596" s="102"/>
    </row>
    <row r="597" spans="1:13">
      <c r="A597" s="110"/>
      <c r="B597" s="110" t="s">
        <v>85</v>
      </c>
      <c r="C597" s="111">
        <f>SUM('Ymgyfranogi Cyffredinol'!$AI$4:$AI$99968)</f>
        <v>0</v>
      </c>
      <c r="D597" s="14"/>
      <c r="E597" s="14"/>
      <c r="F597" s="14"/>
      <c r="G597" s="14"/>
      <c r="H597" s="14"/>
      <c r="I597" s="14"/>
      <c r="J597" s="14"/>
      <c r="K597" s="100"/>
      <c r="L597" s="102"/>
      <c r="M597" s="102"/>
    </row>
    <row r="598" spans="1:13">
      <c r="A598" s="110"/>
      <c r="B598" s="110" t="s">
        <v>86</v>
      </c>
      <c r="C598" s="111">
        <f>SUM('Ymgyfranogi Cyffredinol'!$AJ$4:$AJ$99968)</f>
        <v>0</v>
      </c>
      <c r="D598" s="14"/>
      <c r="E598" s="14"/>
      <c r="F598" s="14"/>
      <c r="G598" s="14"/>
      <c r="H598" s="14"/>
      <c r="I598" s="14"/>
      <c r="J598" s="14"/>
      <c r="K598" s="100"/>
      <c r="L598" s="102"/>
      <c r="M598" s="102"/>
    </row>
    <row r="599" spans="1:13" ht="29">
      <c r="A599" s="112" t="s">
        <v>637</v>
      </c>
      <c r="B599" s="110" t="s">
        <v>83</v>
      </c>
      <c r="C599" s="111">
        <f>SUM('Ymgyfranogi Cyffredinol'!$AK$4:$AK$99968)</f>
        <v>0</v>
      </c>
      <c r="D599" s="14"/>
      <c r="E599" s="14"/>
      <c r="F599" s="14"/>
      <c r="G599" s="14"/>
      <c r="H599" s="14"/>
      <c r="I599" s="14"/>
      <c r="J599" s="14"/>
      <c r="K599" s="100"/>
      <c r="L599" s="102"/>
      <c r="M599" s="102"/>
    </row>
    <row r="600" spans="1:13">
      <c r="A600" s="110"/>
      <c r="B600" s="110" t="s">
        <v>84</v>
      </c>
      <c r="C600" s="111">
        <f>SUM('Ymgyfranogi Cyffredinol'!$AL$4:$AL$99968)</f>
        <v>0</v>
      </c>
      <c r="D600" s="14"/>
      <c r="E600" s="14"/>
      <c r="F600" s="14"/>
      <c r="G600" s="14"/>
      <c r="H600" s="14"/>
      <c r="I600" s="14"/>
      <c r="J600" s="14"/>
      <c r="K600" s="100"/>
      <c r="L600" s="102"/>
      <c r="M600" s="102"/>
    </row>
    <row r="601" spans="1:13">
      <c r="A601" s="110"/>
      <c r="B601" s="110" t="s">
        <v>170</v>
      </c>
      <c r="C601" s="111">
        <f>SUM('Ymgyfranogi Cyffredinol'!$AM$4:$AM$99968)</f>
        <v>0</v>
      </c>
      <c r="D601" s="14"/>
      <c r="E601" s="14"/>
      <c r="F601" s="14"/>
      <c r="G601" s="14"/>
      <c r="H601" s="14"/>
      <c r="I601" s="14"/>
      <c r="J601" s="14"/>
      <c r="K601" s="100"/>
      <c r="L601" s="102"/>
      <c r="M601" s="102"/>
    </row>
    <row r="602" spans="1:13">
      <c r="A602" s="110"/>
      <c r="B602" s="110" t="s">
        <v>85</v>
      </c>
      <c r="C602" s="111">
        <f>SUM('Ymgyfranogi Cyffredinol'!$AN$4:$AN$99968)</f>
        <v>0</v>
      </c>
      <c r="D602" s="14"/>
      <c r="E602" s="14"/>
      <c r="F602" s="14"/>
      <c r="G602" s="14"/>
      <c r="H602" s="14"/>
      <c r="I602" s="14"/>
      <c r="J602" s="14"/>
      <c r="K602" s="100"/>
      <c r="L602" s="102"/>
      <c r="M602" s="102"/>
    </row>
    <row r="603" spans="1:13">
      <c r="A603" s="110"/>
      <c r="B603" s="110" t="s">
        <v>86</v>
      </c>
      <c r="C603" s="111">
        <f>SUM('Ymgyfranogi Cyffredinol'!$AO$4:$AO$99968)</f>
        <v>0</v>
      </c>
      <c r="D603" s="14"/>
      <c r="E603" s="14"/>
      <c r="F603" s="14"/>
      <c r="G603" s="14"/>
      <c r="H603" s="14"/>
      <c r="I603" s="14"/>
      <c r="J603" s="14"/>
      <c r="K603" s="100"/>
      <c r="L603" s="102"/>
      <c r="M603" s="102"/>
    </row>
    <row r="604" spans="1:13" ht="16">
      <c r="A604" s="90"/>
      <c r="B604" s="90"/>
      <c r="C604" s="90"/>
      <c r="D604" s="14"/>
      <c r="E604" s="14"/>
      <c r="F604" s="14"/>
      <c r="G604" s="14"/>
      <c r="H604" s="14"/>
      <c r="I604" s="14"/>
      <c r="J604" s="14"/>
      <c r="K604" s="100"/>
      <c r="L604" s="102"/>
      <c r="M604" s="102"/>
    </row>
    <row r="605" spans="1:13">
      <c r="A605" s="113" t="s">
        <v>638</v>
      </c>
      <c r="B605" s="113"/>
      <c r="C605" s="113"/>
      <c r="D605" s="14"/>
      <c r="E605" s="14"/>
      <c r="F605" s="14"/>
      <c r="G605" s="14"/>
      <c r="H605" s="14"/>
      <c r="I605" s="14"/>
      <c r="J605" s="14"/>
      <c r="K605" s="100"/>
      <c r="L605" s="102"/>
      <c r="M605" s="102"/>
    </row>
    <row r="606" spans="1:13">
      <c r="A606" s="113"/>
      <c r="B606" s="113"/>
      <c r="C606" s="113"/>
      <c r="D606" s="14"/>
      <c r="E606" s="14"/>
      <c r="F606" s="14"/>
      <c r="G606" s="14"/>
      <c r="H606" s="14"/>
      <c r="I606" s="14"/>
      <c r="J606" s="14"/>
      <c r="K606" s="100"/>
      <c r="L606" s="102"/>
      <c r="M606" s="102"/>
    </row>
    <row r="607" spans="1:13">
      <c r="A607" s="113" t="s">
        <v>523</v>
      </c>
      <c r="B607" s="113" t="s">
        <v>639</v>
      </c>
      <c r="C607" s="114">
        <f ca="1">SUMIF(PerfformioTeithio!AH$4:AH$9999,"Perfformiad digidol byw",PerfformioTeithio!AI4:AI9999)+SUMIF(PerfformioTeithio!AH4:AH9999,"Perfformiad digidol byw",PerfformioTeithio!AJ4:AJ9999)+SUMIF(PerfformioTeithio!AH4:AH9999,"Perfformiad digidol byw",PerfformioTeithio!AK4:AK9999)+SUMIF(PerfformioTeithio!AH4:AH9999,"Perfformiad digidol byw",PerfformioTeithio!AL4:AL9999)+SUMIF(PerfformioTeithio!AH4:AH9999,"Perfformiad digidol byw",PerfformioTeithio!AM4:AM9999)+SUMIF(PerfformioTeithio!AH4:AH9999,"Perfformiad digidol byw",PerfformioTeithio!AN4:AN9999)+SUMIF(PerfformioTeithio!AH4:AH9999,"Perfformiad digidol byw",PerfformioTeithio!AV4:AV9999)+SUMIF(PerfformioTeithio!AH4:AH9999,"Perfformiad digidol byw",PerfformioTeithio!AW4:AW9999)+SUMIF(PerfformioTeithio!AH4:AHX9999,"Perfformiad digidol byw",PerfformioTeithio!AX4:AX9999)+SUMIF(PerfformioTeithio!AH4:AH9999,"Perfformiad digidol byw",PerfformioTeithio!AY4:AY9999)+SUMIF(PerfformioTeithio!AH4:AH9999,"Perfformiad digidol byw",PerfformioTeithio!AZ4:AZ9999)+SUMIF(PerfformioTeithio!AH4:AH9999,"Perfformiad digidol byw",PerfformioTeithio!BA4:BA9999)+SUMIF(PerfformioTeithio!AH4:AH9999,"Perfformiad digidol byw",PerfformioTeithio!BI4:BI9999)+SUMIF(PerfformioTeithio!AH4:AH9999,"Perfformiad digidol byw",PerfformioTeithio!BJ4:BJ9999)+SUMIF(PerfformioTeithio!AH4:AH9999,"Perfformiad digidol byw",PerfformioTeithio!BK4:BK9999)+SUMIF(PerfformioTeithio!AH4:AHX9999,"Perfformiad digidol byw",PerfformioTeithio!BL4:BL9999)+SUMIF(PerfformioTeithio!AH4:AH9999,"Perfformiad digidol byw",PerfformioTeithio!BM4:BM9999)+SUMIF(PerfformioTeithio!AH4:AH9999,"Perfformiad digidol byw",PerfformioTeithio!BN4:BN9999)+SUMIF(PerfformioTeithio!AH4:AH9999,"Perfformiad digidol byw",PerfformioTeithio!BV4:BV9999)+SUMIF(PerfformioTeithio!AH4:AH9999,"Perfformiad digidol byw",PerfformioTeithio!BW4:BW9999)+SUMIF(PerfformioTeithio!AH4:AH9999,"Perfformiad digidol byw",PerfformioTeithio!BX4:BX9999)+SUMIF(PerfformioTeithio!AH4:AHX9999,"Perfformiad digidol byw",PerfformioTeithio!BY4:BY9999)+SUMIF(PerfformioTeithio!AH4:AH9999,"Perfformiad digidol byw",PerfformioTeithio!BZ4:BZ9999)+SUMIF(PerfformioTeithio!AH4:AH9999,"Perfformiad digidol byw",PerfformioTeithio!CA4:CA9999)+SUMIF(PerfformioTeithio!AH4:AH9999,"Perfformiad digidol byw",PerfformioTeithio!CI4:CI9999)+SUMIF(PerfformioTeithio!AH4:AH9999,"Perfformiad digidol byw",PerfformioTeithio!BW4:CJ9999)+SUMIF(PerfformioTeithio!AH4:AH9999,"Perfformiad digidol byw",PerfformioTeithio!CJ4:CJ9999)+SUMIF(PerfformioTeithio!AH4:AHX9999,"Perfformiad digidol byw",PerfformioTeithio!CK4:CK9999)+SUMIF(PerfformioTeithio!AH4:AH9999,"Perfformiad digidol byw",PerfformioTeithio!CL4:CL9999)+SUMIF(PerfformioTeithio!AH4:AH9999,"Perfformiad digidol byw",PerfformioTeithio!CM4:CM9999)</f>
        <v>0</v>
      </c>
      <c r="D607" s="158">
        <f ca="1">L607</f>
        <v>1</v>
      </c>
      <c r="E607" s="14"/>
      <c r="F607" s="14"/>
      <c r="G607" s="14"/>
      <c r="H607" s="14"/>
      <c r="I607" s="14"/>
      <c r="J607" s="14"/>
      <c r="K607" s="100"/>
      <c r="L607" s="102">
        <f ca="1">IF(M607="ok",1,0)</f>
        <v>1</v>
      </c>
      <c r="M607" s="102" t="str">
        <f t="shared" ref="M607:M611" ca="1" si="446">IF(AND(C607&gt;=0.1,SUM(C608)&gt;=C607),"ok",IF(AND(C607=0,SUM(C608)=0),"ok",IF(AND(C607&gt;0.1,SUM(C608)=0),"wrong",IF(AND(C607=0,SUM(C608)&gt;0.1),"wrong"))))</f>
        <v>ok</v>
      </c>
    </row>
    <row r="608" spans="1:13">
      <c r="A608" s="113"/>
      <c r="B608" s="113" t="s">
        <v>640</v>
      </c>
      <c r="C608" s="114">
        <f ca="1">SUMIF(PerfformioTeithio!AH$4:AH$9999,"Perfformiad digidol byw",PerfformioTeithio!AI4:AI9999)+SUMIF(PerfformioTeithio!AH4:AH9999,"Perfformiad digidol byw",PerfformioTeithio!AJ4:AJ9999)+SUMIF(PerfformioTeithio!AH4:AH9999,"Perfformiad digidol byw",PerfformioTeithio!AK4:AK9999)+SUMIF(PerfformioTeithio!AH4:AH9999,"Perfformiad digidol byw",PerfformioTeithio!AL4:AL9999)+SUMIF(PerfformioTeithio!AH4:AH9999,"Perfformiad digidol byw",PerfformioTeithio!AM4:AM9999)+SUMIF(PerfformioTeithio!AH4:AH9999,"Perfformiad digidol byw",PerfformioTeithio!AN4:AN9999)+SUMIF(PerfformioTeithio!AH4:AH9999,"Perfformiad digidol byw",PerfformioTeithio!AV4:AV9999)+SUMIF(PerfformioTeithio!AH4:AH9999,"Perfformiad digidol byw",PerfformioTeithio!AW4:AW9999)+SUMIF(PerfformioTeithio!AH4:AHX9999,"Perfformiad digidol byw",PerfformioTeithio!AX4:AX9999)+SUMIF(PerfformioTeithio!AH4:AH9999,"Perfformiad digidol byw",PerfformioTeithio!AY4:AY9999)+SUMIF(PerfformioTeithio!AH4:AH9999,"Perfformiad digidol byw",PerfformioTeithio!AZ4:AZ9999)+SUMIF(PerfformioTeithio!AH4:AH9999,"Perfformiad digidol byw",PerfformioTeithio!BA4:BA9999)+SUMIF(PerfformioTeithio!AH4:AH9999,"Perfformiad digidol byw",PerfformioTeithio!BI4:BI9999)+SUMIF(PerfformioTeithio!AH4:AH9999,"Perfformiad digidol byw",PerfformioTeithio!BJ4:BJ9999)+SUMIF(PerfformioTeithio!AH4:AH9999,"Perfformiad digidol byw",PerfformioTeithio!BK4:BK9999)+SUMIF(PerfformioTeithio!AH4:AHX9999,"Perfformiad digidol byw",PerfformioTeithio!BL4:BL9999)+SUMIF(PerfformioTeithio!AH4:AH9999,"Perfformiad digidol byw",PerfformioTeithio!BM4:BM9999)+SUMIF(PerfformioTeithio!AH4:AH9999,"Perfformiad digidol byw",PerfformioTeithio!BN4:BN9999)+SUMIF(PerfformioTeithio!AH4:AH9999,"Perfformiad digidol byw",PerfformioTeithio!BV4:BV9999)+SUMIF(PerfformioTeithio!AH4:AH9999,"Perfformiad digidol byw",PerfformioTeithio!BW4:BW9999)+SUMIF(PerfformioTeithio!AH4:AH9999,"Perfformiad digidol byw",PerfformioTeithio!BX4:BX9999)+SUMIF(PerfformioTeithio!AH4:AHX9999,"Perfformiad digidol byw",PerfformioTeithio!BY4:BY9999)+SUMIF(PerfformioTeithio!AH4:AH9999,"Perfformiad digidol byw",PerfformioTeithio!BZ4:BZ9999)+SUMIF(PerfformioTeithio!AH4:AH9999,"Perfformiad digidol byw",PerfformioTeithio!CA4:CA9999)+SUMIF(PerfformioTeithio!AH4:AH9999,"Perfformiad digidol byw",PerfformioTeithio!CI4:CI9999)+SUMIF(PerfformioTeithio!AH4:AH9999,"Perfformiad digidol byw",PerfformioTeithio!BW4:CJ9999)+SUMIF(PerfformioTeithio!AH4:AH9999,"Perfformiad digidol byw",PerfformioTeithio!CJ4:CJ9999)+SUMIF(PerfformioTeithio!AH4:AHX9999,"Perfformiad digidol byw",PerfformioTeithio!CK4:CK9999)+SUMIF(PerfformioTeithio!AH4:AH9999,"Perfformiad digidol byw",PerfformioTeithio!CL4:CL9999)+SUMIF(PerfformioTeithio!AH4:AH9999,"Perfformiad digidol byw",PerfformioTeithio!CM4:CM9999)</f>
        <v>0</v>
      </c>
      <c r="D608" s="158">
        <f t="shared" ref="D608:D612" ca="1" si="447">L608</f>
        <v>1</v>
      </c>
      <c r="E608" s="14"/>
      <c r="F608" s="14"/>
      <c r="G608" s="14"/>
      <c r="H608" s="14"/>
      <c r="I608" s="14"/>
      <c r="J608" s="14"/>
      <c r="K608" s="100"/>
      <c r="L608" s="102">
        <f t="shared" ref="L608:L612" ca="1" si="448">IF(M608="ok",1,0)</f>
        <v>1</v>
      </c>
      <c r="M608" s="102" t="str">
        <f t="shared" ref="M608" ca="1" si="449">IF(C607&lt;=C608,"ok","wrong")</f>
        <v>ok</v>
      </c>
    </row>
    <row r="609" spans="1:13">
      <c r="A609" s="113"/>
      <c r="B609" s="113" t="s">
        <v>641</v>
      </c>
      <c r="C609" s="114">
        <f ca="1">SUMIF(PerfformioTeithio!AH4:AH9999,"perfformiad digidol wedi'i recordio ymlaen llaw",PerfformioTeithio!AI4:AI9999)+SUMIF(PerfformioTeithio!AH4:AH9999,"perfformiad digidol wedi'i recordio ymlaen llaw",PerfformioTeithio!AJ4:AJ9999)+SUMIF(PerfformioTeithio!AH4:AH9999,"perfformiad digidol wedi'i recordio ymlaen llaw",PerfformioTeithio!AK4:AK9999)+SUMIF(PerfformioTeithio!AH4:AH$9999,"perfformiad digidol wedi'i recordio ymlaen llaw",PerfformioTeithio!AL4:AL9999)+SUMIF(PerfformioTeithio!AH4:AH9999,"perfformiad digidol wedi'i recordio ymlaen llaw",PerfformioTeithio!AM4:AM9999)+SUMIF(PerfformioTeithio!AH4:AH9999,"perfformiad digidol wedi'i recordio ymlaen llaw",PerfformioTeithio!AN4:AN9999)+SUMIF(PerfformioTeithio!AH4:AH9999,"perfformiad digidol wedi'i recordio ymlaen llaw",PerfformioTeithio!AV4:AV9999)+SUMIF(PerfformioTeithio!AH4:AH9999,"perfformiad digidol wedi'i recordio ymlaen llaw",PerfformioTeithio!AW4:AW9999)+SUMIF(PerfformioTeithio!AH4:AHX9999,"perfformiad digidol wedi'i recordio ymlaen llaw",PerfformioTeithio!AX4:AX9999)+SUMIF(PerfformioTeithio!AH4:AH9999,"perfformiad digidol wedi'i recordio ymlaen llaw",PerfformioTeithio!AY4:AY9999)+SUMIF(PerfformioTeithio!AH4:AH9999,"perfformiad digidol wedi'i recordio ymlaen llaw",PerfformioTeithio!AZ4:AZ9999)+SUMIF(PerfformioTeithio!AH4:AH9999,"perfformiad digidol wedi'i recordio ymlaen llaw",PerfformioTeithio!BA4:BA9999)+SUMIF(PerfformioTeithio!AH4:AH9999,"perfformiad digidol wedi'i recordio ymlaen llaw",PerfformioTeithio!BI4:BI9999)+SUMIF(PerfformioTeithio!AH4:AH9999,"perfformiad digidol wedi'i recordio ymlaen llaw",PerfformioTeithio!BJ4:BJ9999)+SUMIF(PerfformioTeithio!AH4:AH9999,"perfformiad digidol wedi'i recordio ymlaen llaw",PerfformioTeithio!BK4:BK9999)+SUMIF(PerfformioTeithio!AH4:AHX9999,"perfformiad digidol wedi'i recordio ymlaen llaw",PerfformioTeithio!BL4:BL9999)+SUMIF(PerfformioTeithio!AH4:AH9999,"perfformiad digidol wedi'i recordio ymlaen llaw",PerfformioTeithio!BM4:BM9999)+SUMIF(PerfformioTeithio!AH4:AH9999,"perfformiad digidol wedi'i recordio ymlaen llaw",PerfformioTeithio!BN4:BN9999)+SUMIF(PerfformioTeithio!AH4:AH9999,"perfformiad digidol wedi'i recordio ymlaen llaw",PerfformioTeithio!BV4:BV9999)+SUMIF(PerfformioTeithio!AH4:AH9999,"perfformiad digidol wedi'i recordio ymlaen llaw",PerfformioTeithio!BW4:BW9999)+SUMIF(PerfformioTeithio!AH4:AH9999,"perfformiad digidol wedi'i recordio ymlaen llaw",PerfformioTeithio!BX4:BX9999)+SUMIF(PerfformioTeithio!AH4:AHX9999,"perfformiad digidol wedi'i recordio ymlaen llaw",PerfformioTeithio!BY4:BY9999)+SUMIF(PerfformioTeithio!AH4:AH9999,"perfformiad digidol wedi'i recordio ymlaen llaw",PerfformioTeithio!BZ4:BZ9999)+SUMIF(PerfformioTeithio!AH4:AH9999,"perfformiad digidol wedi'i recordio ymlaen llaw",PerfformioTeithio!CA4:CA9999)+SUMIF(PerfformioTeithio!AH4:AH9999,"perfformiad digidol wedi'i recordio ymlaen llaw",PerfformioTeithio!CI4:CI9999)+SUMIF(PerfformioTeithio!AH4:AH9999,"perfformiad digidol wedi'i recordio ymlaen llaw",PerfformioTeithio!BW4:CJ9999)+SUMIF(PerfformioTeithio!AH4:AH9999,"perfformiad digidol wedi'i recordio ymlaen llaw",PerfformioTeithio!CJ4:CJ9999)+SUMIF(PerfformioTeithio!AH4:AHX9999,"perfformiad digidol wedi'i recordio ymlaen llaw",PerfformioTeithio!CK4:CK9999)+SUMIF(PerfformioTeithio!AH4:AH9999,"perfformiad digidol wedi'i recordio ymlaen llaw",PerfformioTeithio!CL4:CL9999)+SUMIF(PerfformioTeithio!AH4:AH9999,"perfformiad digidol wedi'i recordio ymlaen llaw",PerfformioTeithio!CM4:CM9999)</f>
        <v>0</v>
      </c>
      <c r="D609" s="158">
        <f t="shared" ca="1" si="447"/>
        <v>1</v>
      </c>
      <c r="E609" s="14"/>
      <c r="F609" s="14"/>
      <c r="G609" s="14"/>
      <c r="H609" s="14"/>
      <c r="I609" s="14"/>
      <c r="J609" s="14"/>
      <c r="K609" s="100"/>
      <c r="L609" s="102">
        <f t="shared" ca="1" si="448"/>
        <v>1</v>
      </c>
      <c r="M609" s="102" t="str">
        <f t="shared" ca="1" si="446"/>
        <v>ok</v>
      </c>
    </row>
    <row r="610" spans="1:13">
      <c r="A610" s="113"/>
      <c r="B610" s="113" t="s">
        <v>642</v>
      </c>
      <c r="C610" s="114">
        <f ca="1">SUMIF(PerfformioTeithio!AH4:AH9999,"perfformiad digidol wedi'i recordio ymlaen llaw",PerfformioTeithio!AO4:AO9999)+SUMIF(PerfformioTeithio!AH4:AH9999,"perfformiad digidol wedi'i recordio ymlaen llaw",PerfformioTeithio!AP4:AP9999)+SUMIF(PerfformioTeithio!AH4:AH9999,"perfformiad digidol wedi'i recordio ymlaen llaw",PerfformioTeithio!AQ4:AQ9999)+SUMIF(PerfformioTeithio!AH4:AH$9999,"perfformiad digidol wedi'i recordio ymlaen llaw",PerfformioTeithio!AR4:AR9999)+SUMIF(PerfformioTeithio!AH4:AH9999,"perfformiad digidol wedi'i recordio ymlaen llaw",PerfformioTeithio!AS4:AS9999)+SUMIF(PerfformioTeithio!AH4:AH9999,"perfformiad digidol wedi'i recordio ymlaen llaw",PerfformioTeithio!AT4:AT9999)+SUMIF(PerfformioTeithio!AH4:AH9999,"perfformiad digidol wedi'i recordio ymlaen llaw",PerfformioTeithio!BB4:BB9999)+SUMIF(PerfformioTeithio!AH4:AH9999,"perfformiad digidol wedi'i recordio ymlaen llaw",PerfformioTeithio!BC4:BC9999)+SUMIF(PerfformioTeithio!AH4:AHX9999,"perfformiad digidol wedi'i recordio ymlaen llaw",PerfformioTeithio!BD4:BD9999)+SUMIF(PerfformioTeithio!AH4:AH9999,"perfformiad digidol wedi'i recordio ymlaen llaw",PerfformioTeithio!BE4:BE9999)+SUMIF(PerfformioTeithio!AH4:AH9999,"perfformiad digidol wedi'i recordio ymlaen llaw",PerfformioTeithio!BF4:BF9999)+SUMIF(PerfformioTeithio!AH4:AH9999,"perfformiad digidol wedi'i recordio ymlaen llaw",PerfformioTeithio!BG4:BG9999)+SUMIF(PerfformioTeithio!AH4:AH9999,"perfformiad digidol wedi'i recordio ymlaen llaw",PerfformioTeithio!BO4:BO9999)+SUMIF(PerfformioTeithio!AH4:AH9999,"perfformiad digidol wedi'i recordio ymlaen llaw",PerfformioTeithio!BP4:BP9999)+SUMIF(PerfformioTeithio!AH4:AH9999,"perfformiad digidol wedi'i recordio ymlaen llaw",PerfformioTeithio!BQ4:BQ9999)+SUMIF(PerfformioTeithio!AH4:AHX9999,"perfformiad digidol wedi'i recordio ymlaen llaw",PerfformioTeithio!BR4:BR9999)+SUMIF(PerfformioTeithio!AH4:AH9999,"perfformiad digidol wedi'i recordio ymlaen llaw",PerfformioTeithio!BS4:BS9999)+SUMIF(PerfformioTeithio!AH4:AH9999,"perfformiad digidol wedi'i recordio ymlaen llaw",PerfformioTeithio!BT4:BT9999)+SUMIF(PerfformioTeithio!AH4:AH9999,"perfformiad digidol wedi'i recordio ymlaen llaw",PerfformioTeithio!CB4:CB999)+SUMIF(PerfformioTeithio!AH4:AH9999,"perfformiad digidol wedi'i recordio ymlaen llaw",PerfformioTeithio!CC4:CC9999)+SUMIF(PerfformioTeithio!AH4:AH9999,"perfformiad digidol wedi'i recordio ymlaen llaw",PerfformioTeithio!CD4:CD9999)+SUMIF(PerfformioTeithio!AH4:AHX9999,"perfformiad digidol wedi'i recordio ymlaen llaw",PerfformioTeithio!CE4:CE9999)+SUMIF(PerfformioTeithio!AH4:AH9999,"perfformiad digidol wedi'i recordio ymlaen llaw",PerfformioTeithio!CF4:CF9999)+SUMIF(PerfformioTeithio!AH4:AH9999,"perfformiad digidol wedi'i recordio ymlaen llaw",PerfformioTeithio!CG4:CG9999)+SUMIF(PerfformioTeithio!AH4:AH9999,"perfformiad digidol wedi'i recordio ymlaen llaw",PerfformioTeithio!CO4:CO9999)+SUMIF(PerfformioTeithio!AH4:AH9999,"perfformiad digidol wedi'i recordio ymlaen llaw",PerfformioTeithio!CP4:CP9999)+SUMIF(PerfformioTeithio!AH4:AH9999,"perfformiad digidol wedi'i recordio ymlaen llaw",PerfformioTeithio!CQ4:CQ9999)+SUMIF(PerfformioTeithio!AH4:AHX9999,"perfformiad digidol wedi'i recordio ymlaen llaw",PerfformioTeithio!CR4:CR9999)+SUMIF(PerfformioTeithio!AH4:AH9999,"perfformiad digidol wedi'i recordio ymlaen llaw",PerfformioTeithio!CS4:CS9999)+SUMIF(PerfformioTeithio!AH4:AH9999,"perfformiad digidol wedi'i recordio ymlaen llaw",PerfformioTeithio!CT4:CT9999)</f>
        <v>0</v>
      </c>
      <c r="D610" s="158">
        <f t="shared" ca="1" si="447"/>
        <v>1</v>
      </c>
      <c r="E610" s="14"/>
      <c r="F610" s="14"/>
      <c r="G610" s="14"/>
      <c r="H610" s="14"/>
      <c r="I610" s="14"/>
      <c r="J610" s="14"/>
      <c r="K610" s="100"/>
      <c r="L610" s="102">
        <f t="shared" ca="1" si="448"/>
        <v>1</v>
      </c>
      <c r="M610" s="102" t="str">
        <f t="shared" ref="M610" ca="1" si="450">IF(C609&lt;=C610,"ok","wrong")</f>
        <v>ok</v>
      </c>
    </row>
    <row r="611" spans="1:13">
      <c r="A611" s="113"/>
      <c r="B611" s="113" t="s">
        <v>643</v>
      </c>
      <c r="C611" s="114">
        <f ca="1">SUMIF(PerfformioTeithio!AH4:AH9999,"perfformiad byw",PerfformioTeithio!AI4:AI9999)+SUMIF(PerfformioTeithio!AH4:AH9999,"perfformiad byw",PerfformioTeithio!AJ4:AJ9999)+SUMIF(PerfformioTeithio!AH4:AH9999,"perfformiad byw",PerfformioTeithio!AK4:AK9999)+SUMIF(PerfformioTeithio!AH4:AH$9999,"perfformiad byw",PerfformioTeithio!AL4:AL9999)+SUMIF(PerfformioTeithio!AH4:AH9999,"perfformiad byw",PerfformioTeithio!AM4:AM9999)+SUMIF(PerfformioTeithio!AH4:AH9999,"perfformiad byw",PerfformioTeithio!AN4:AN9999)+SUMIF(PerfformioTeithio!AH4:AH9999,"perfformiad byw",PerfformioTeithio!AV4:AV9999)+SUMIF(PerfformioTeithio!AH4:AH9999,"perfformiad byw",PerfformioTeithio!AW4:AW9999)+SUMIF(PerfformioTeithio!AH4:AHX9999,"perfformiad byw",PerfformioTeithio!AX4:AX9999)+SUMIF(PerfformioTeithio!AH4:AH9999,"perfformiad byw",PerfformioTeithio!AY4:AY9999)+SUMIF(PerfformioTeithio!AH4:AH9999,"perfformiad byw",PerfformioTeithio!AZ4:AZ9999)+SUMIF(PerfformioTeithio!AH4:AH9999,"perfformiad byw",PerfformioTeithio!BA4:BA9999)+SUMIF(PerfformioTeithio!AH4:AH9999,"perfformiad byw",PerfformioTeithio!BI4:BI9999)+SUMIF(PerfformioTeithio!AH4:AH9999,"perfformiad byw",PerfformioTeithio!BJ4:BJ9999)+SUMIF(PerfformioTeithio!AH4:AH9999,"perfformiad byw",PerfformioTeithio!BK4:BK9999)+SUMIF(PerfformioTeithio!AH4:AHX9999,"perfformiad byw",PerfformioTeithio!BL4:BL9999)+SUMIF(PerfformioTeithio!AH4:AH9999,"perfformiad byw",PerfformioTeithio!BM4:BM9999)+SUMIF(PerfformioTeithio!AH4:AH9999,"perfformiad byw",PerfformioTeithio!BN4:BN9999)+SUMIF(PerfformioTeithio!AH4:AH9999,"perfformiad byw",PerfformioTeithio!BV4:BV9999)+SUMIF(PerfformioTeithio!AH4:AH9999,"perfformiad byw",PerfformioTeithio!BW4:BW9999)+SUMIF(PerfformioTeithio!AH4:AH9999,"perfformiad byw",PerfformioTeithio!BX4:BX9999)+SUMIF(PerfformioTeithio!AH4:AHX9999,"perfformiad byw",PerfformioTeithio!BY4:BY9999)+SUMIF(PerfformioTeithio!AH4:AH9999,"perfformiad byw",PerfformioTeithio!BZ4:BZ9999)+SUMIF(PerfformioTeithio!AH4:AH9999,"perfformiad byw",PerfformioTeithio!CA4:CA9999)+SUMIF(PerfformioTeithio!AH4:AH9999,"perfformiad byw",PerfformioTeithio!CI4:CI9999)+SUMIF(PerfformioTeithio!AH4:AH9999,"perfformiad byw",PerfformioTeithio!BW4:CJ9999)+SUMIF(PerfformioTeithio!AH4:AH9999,"perfformiad byw",PerfformioTeithio!CJ4:CJ9999)+SUMIF(PerfformioTeithio!AH4:AHX9999,"perfformiad byw",PerfformioTeithio!CK4:CK9999)+SUMIF(PerfformioTeithio!AH4:AH9999,"perfformiad byw",PerfformioTeithio!CL4:CL9999)+SUMIF(PerfformioTeithio!AH4:AH9999,"perfformiad byw",PerfformioTeithio!CM4:CM9999)</f>
        <v>0</v>
      </c>
      <c r="D611" s="158">
        <f t="shared" ca="1" si="447"/>
        <v>1</v>
      </c>
      <c r="E611" s="14"/>
      <c r="F611" s="14"/>
      <c r="G611" s="14"/>
      <c r="H611" s="14"/>
      <c r="I611" s="14"/>
      <c r="J611" s="14"/>
      <c r="K611" s="100"/>
      <c r="L611" s="102">
        <f t="shared" ca="1" si="448"/>
        <v>1</v>
      </c>
      <c r="M611" s="102" t="str">
        <f t="shared" ca="1" si="446"/>
        <v>ok</v>
      </c>
    </row>
    <row r="612" spans="1:13">
      <c r="A612" s="113"/>
      <c r="B612" s="113" t="s">
        <v>644</v>
      </c>
      <c r="C612" s="114">
        <f ca="1">SUMIF(PerfformioTeithio!AH4:AH9999,"perfformiad byw",PerfformioTeithio!AO4:AO9999)+SUMIF(PerfformioTeithio!AH4:AH9999,"perfformiad byw",PerfformioTeithio!AP4:AP9999)+SUMIF(PerfformioTeithio!AH4:AH9999,"perfformiad byw",PerfformioTeithio!AQ4:AQ9999)+SUMIF(PerfformioTeithio!AH4:AH$9999,"perfformiad byw",PerfformioTeithio!AR4:AR9999)+SUMIF(PerfformioTeithio!AH4:AH9999,"perfformiad byw",PerfformioTeithio!AS4:AS9999)+SUMIF(PerfformioTeithio!AH4:AH9999,"perfformiad byw",PerfformioTeithio!AT4:AT9999)+SUMIF(PerfformioTeithio!AH4:AH9999,"perfformiad byw",PerfformioTeithio!BB4:BB9999)+SUMIF(PerfformioTeithio!AH4:AH9999,"perfformiad byw",PerfformioTeithio!BC4:BC9999)+SUMIF(PerfformioTeithio!AH4:AHX9999,"perfformiad byw",PerfformioTeithio!BD4:BD9999)+SUMIF(PerfformioTeithio!AH4:AH9999,"perfformiad byw",PerfformioTeithio!BE4:BE9999)+SUMIF(PerfformioTeithio!AH4:AH9999,"perfformiad byw",PerfformioTeithio!BF4:BF9999)+SUMIF(PerfformioTeithio!AH4:AH9999,"perfformiad byw",PerfformioTeithio!BG4:BG9999)+SUMIF(PerfformioTeithio!AH4:AH9999,"perfformiad byw",PerfformioTeithio!BO4:BO9999)+SUMIF(PerfformioTeithio!AH4:AH9999,"perfformiad byw",PerfformioTeithio!BP4:BP9999)+SUMIF(PerfformioTeithio!AH4:AH9999,"perfformiad byw",PerfformioTeithio!BQ4:BQ9999)+SUMIF(PerfformioTeithio!AH4:AHX9999,"perfformiad byw",PerfformioTeithio!BR4:BR9999)+SUMIF(PerfformioTeithio!AH4:AH9999,"perfformiad byw",PerfformioTeithio!BS4:BS9999)+SUMIF(PerfformioTeithio!AH4:AH9999,"perfformiad byw",PerfformioTeithio!BT4:BT9999)+SUMIF(PerfformioTeithio!AH4:AH9999,"perfformiad byw",PerfformioTeithio!CB4:CB999)+SUMIF(PerfformioTeithio!AH4:AH9999,"perfformiad byw",PerfformioTeithio!CC4:CC9999)+SUMIF(PerfformioTeithio!AH4:AH9999,"perfformiad byw",PerfformioTeithio!CD4:CD9999)+SUMIF(PerfformioTeithio!AH4:AHX9999,"perfformiad byw",PerfformioTeithio!CE4:CE9999)+SUMIF(PerfformioTeithio!AH4:AH9999,"perfformiad byw",PerfformioTeithio!CF4:CF9999)+SUMIF(PerfformioTeithio!AH4:AH9999,"perfformiad byw",PerfformioTeithio!CG4:CG9999)+SUMIF(PerfformioTeithio!AH4:AH9999,"perfformiad byw",PerfformioTeithio!CO4:CO9999)+SUMIF(PerfformioTeithio!AH4:AH9999,"perfformiad byw",PerfformioTeithio!CP4:CP9999)+SUMIF(PerfformioTeithio!AH4:AH9999,"perfformiad byw",PerfformioTeithio!CQ4:CQ9999)+SUMIF(PerfformioTeithio!AH4:AHX9999,"perfformiad byw",PerfformioTeithio!CR4:CR9999)+SUMIF(PerfformioTeithio!AH4:AH9999,"perfformiad byw",PerfformioTeithio!CS4:CS9999)+SUMIF(PerfformioTeithio!AH4:AH9999,"perfformiad byw",PerfformioTeithio!CT4:CT9999)</f>
        <v>0</v>
      </c>
      <c r="D612" s="158">
        <f t="shared" ca="1" si="447"/>
        <v>1</v>
      </c>
      <c r="E612" s="14"/>
      <c r="F612" s="14"/>
      <c r="G612" s="14"/>
      <c r="H612" s="14"/>
      <c r="I612" s="14"/>
      <c r="J612" s="14"/>
      <c r="K612" s="100"/>
      <c r="L612" s="102">
        <f t="shared" ca="1" si="448"/>
        <v>1</v>
      </c>
      <c r="M612" s="102" t="str">
        <f t="shared" ref="M612" ca="1" si="451">IF(C611&lt;=C612,"ok","wrong")</f>
        <v>ok</v>
      </c>
    </row>
    <row r="613" spans="1:13">
      <c r="A613" s="115" t="s">
        <v>645</v>
      </c>
      <c r="B613" s="113" t="s">
        <v>646</v>
      </c>
      <c r="C613" s="114">
        <f>COUNTIF(PerfformioTeithio!$C:$C,"Do")</f>
        <v>0</v>
      </c>
      <c r="D613" s="14"/>
      <c r="E613" s="14"/>
      <c r="F613" s="14"/>
      <c r="G613" s="14"/>
      <c r="H613" s="14"/>
      <c r="I613" s="14"/>
      <c r="J613" s="14"/>
      <c r="K613" s="100"/>
      <c r="L613" s="102"/>
      <c r="M613" s="102"/>
    </row>
    <row r="614" spans="1:13">
      <c r="A614" s="113" t="s">
        <v>647</v>
      </c>
      <c r="B614" s="113" t="s">
        <v>648</v>
      </c>
      <c r="C614" s="114">
        <f>COUNTIF(PerfformioTeithio!$D:$D,"Do")</f>
        <v>0</v>
      </c>
      <c r="D614" s="14"/>
      <c r="E614" s="14"/>
      <c r="F614" s="14"/>
      <c r="G614" s="14"/>
      <c r="H614" s="14"/>
      <c r="I614" s="14"/>
      <c r="J614" s="14"/>
      <c r="K614" s="100"/>
      <c r="L614" s="102"/>
      <c r="M614" s="102"/>
    </row>
    <row r="615" spans="1:13">
      <c r="A615" s="113" t="s">
        <v>649</v>
      </c>
      <c r="B615" s="113" t="s">
        <v>650</v>
      </c>
      <c r="C615" s="114">
        <f>COUNTIF(PerfformioTeithio!$F:$F,"Oedd")</f>
        <v>0</v>
      </c>
      <c r="D615" s="14"/>
      <c r="E615" s="14"/>
      <c r="F615" s="14"/>
      <c r="G615" s="14"/>
      <c r="H615" s="14"/>
      <c r="I615" s="14"/>
      <c r="J615" s="14"/>
      <c r="K615" s="100"/>
      <c r="L615" s="102"/>
      <c r="M615" s="102"/>
    </row>
    <row r="616" spans="1:13">
      <c r="A616" s="115" t="s">
        <v>651</v>
      </c>
      <c r="B616" s="115" t="s">
        <v>491</v>
      </c>
      <c r="C616" s="114">
        <f>COUNTIF(PerfformioTeithio!$H:$H,"Ie")</f>
        <v>0</v>
      </c>
      <c r="D616" s="14"/>
      <c r="E616" s="14"/>
      <c r="F616" s="14"/>
      <c r="G616" s="14"/>
      <c r="H616" s="14"/>
      <c r="I616" s="14"/>
      <c r="J616" s="14"/>
      <c r="K616" s="100"/>
      <c r="L616" s="102"/>
      <c r="M616" s="102"/>
    </row>
    <row r="617" spans="1:13">
      <c r="A617" s="113"/>
      <c r="B617" s="115" t="s">
        <v>585</v>
      </c>
      <c r="C617" s="114">
        <f>COUNTIF(PerfformioTeithio!$I:$I,"Ie")</f>
        <v>0</v>
      </c>
      <c r="D617" s="14"/>
      <c r="E617" s="14"/>
      <c r="F617" s="14"/>
      <c r="G617" s="14"/>
      <c r="H617" s="14"/>
      <c r="I617" s="14"/>
      <c r="J617" s="14"/>
      <c r="K617" s="100"/>
      <c r="L617" s="102"/>
      <c r="M617" s="102"/>
    </row>
    <row r="618" spans="1:13">
      <c r="A618" s="113"/>
      <c r="B618" s="115" t="s">
        <v>90</v>
      </c>
      <c r="C618" s="114">
        <f>COUNTIF(PerfformioTeithio!$J:$J,"Ie")</f>
        <v>0</v>
      </c>
      <c r="D618" s="14"/>
      <c r="E618" s="14"/>
      <c r="F618" s="14"/>
      <c r="G618" s="14"/>
      <c r="H618" s="14"/>
      <c r="I618" s="14"/>
      <c r="J618" s="14"/>
      <c r="K618" s="100"/>
      <c r="L618" s="102"/>
      <c r="M618" s="102"/>
    </row>
    <row r="619" spans="1:13">
      <c r="A619" s="113"/>
      <c r="B619" s="115" t="s">
        <v>586</v>
      </c>
      <c r="C619" s="114">
        <f>COUNTIF(PerfformioTeithio!$K:$K,"Ie")</f>
        <v>0</v>
      </c>
      <c r="D619" s="14"/>
      <c r="E619" s="14"/>
      <c r="F619" s="14"/>
      <c r="G619" s="14"/>
      <c r="H619" s="14"/>
      <c r="I619" s="14"/>
      <c r="J619" s="14"/>
      <c r="K619" s="100"/>
      <c r="L619" s="102"/>
      <c r="M619" s="102"/>
    </row>
    <row r="620" spans="1:13">
      <c r="A620" s="113"/>
      <c r="B620" s="115" t="s">
        <v>587</v>
      </c>
      <c r="C620" s="114">
        <f>COUNTIF(PerfformioTeithio!$L:$L,"Ie")</f>
        <v>0</v>
      </c>
      <c r="D620" s="14"/>
      <c r="E620" s="14"/>
      <c r="F620" s="14"/>
      <c r="G620" s="14"/>
      <c r="H620" s="14"/>
      <c r="I620" s="14"/>
      <c r="J620" s="14"/>
      <c r="K620" s="100"/>
      <c r="L620" s="102"/>
      <c r="M620" s="102"/>
    </row>
    <row r="621" spans="1:13">
      <c r="A621" s="113"/>
      <c r="B621" s="115" t="s">
        <v>588</v>
      </c>
      <c r="C621" s="114">
        <f>COUNTIF(PerfformioTeithio!$M:$M,"Ie")</f>
        <v>0</v>
      </c>
      <c r="D621" s="14"/>
      <c r="E621" s="14"/>
      <c r="F621" s="14"/>
      <c r="G621" s="14"/>
      <c r="H621" s="14"/>
      <c r="I621" s="14"/>
      <c r="J621" s="14"/>
      <c r="K621" s="100"/>
      <c r="L621" s="102"/>
      <c r="M621" s="102"/>
    </row>
    <row r="622" spans="1:13">
      <c r="A622" s="113"/>
      <c r="B622" s="115" t="s">
        <v>589</v>
      </c>
      <c r="C622" s="114">
        <f>COUNTIF(PerfformioTeithio!$N:$N,"Ie")</f>
        <v>0</v>
      </c>
      <c r="D622" s="14"/>
      <c r="E622" s="14"/>
      <c r="F622" s="14"/>
      <c r="G622" s="14"/>
      <c r="H622" s="14"/>
      <c r="I622" s="14"/>
      <c r="J622" s="14"/>
      <c r="K622" s="100"/>
      <c r="L622" s="102"/>
      <c r="M622" s="102"/>
    </row>
    <row r="623" spans="1:13">
      <c r="A623" s="113"/>
      <c r="B623" s="115" t="s">
        <v>590</v>
      </c>
      <c r="C623" s="114">
        <f>COUNTIF(PerfformioTeithio!$O:$O,"Ie")</f>
        <v>0</v>
      </c>
      <c r="D623" s="14"/>
      <c r="E623" s="14"/>
      <c r="F623" s="14"/>
      <c r="G623" s="14"/>
      <c r="H623" s="14"/>
      <c r="I623" s="14"/>
      <c r="J623" s="14"/>
      <c r="K623" s="100"/>
      <c r="L623" s="102"/>
      <c r="M623" s="102"/>
    </row>
    <row r="624" spans="1:13">
      <c r="A624" s="113"/>
      <c r="B624" s="115" t="s">
        <v>96</v>
      </c>
      <c r="C624" s="114">
        <f>COUNTIF(PerfformioTeithio!$P:$P,"Ie")</f>
        <v>0</v>
      </c>
      <c r="D624" s="14"/>
      <c r="E624" s="14"/>
      <c r="F624" s="14"/>
      <c r="G624" s="14"/>
      <c r="H624" s="14"/>
      <c r="I624" s="14"/>
      <c r="J624" s="14"/>
      <c r="K624" s="100"/>
      <c r="L624" s="102"/>
      <c r="M624" s="102"/>
    </row>
    <row r="625" spans="1:13">
      <c r="A625" s="113" t="s">
        <v>652</v>
      </c>
      <c r="B625" s="115" t="s">
        <v>491</v>
      </c>
      <c r="C625" s="114">
        <f>COUNTIF(PerfformioTeithio!$Q:$Q,"Do")</f>
        <v>0</v>
      </c>
      <c r="D625" s="14"/>
      <c r="E625" s="14"/>
      <c r="F625" s="14"/>
      <c r="G625" s="14"/>
      <c r="H625" s="14"/>
      <c r="I625" s="14"/>
      <c r="J625" s="14"/>
      <c r="K625" s="100"/>
      <c r="L625" s="102"/>
      <c r="M625" s="102"/>
    </row>
    <row r="626" spans="1:13">
      <c r="A626" s="113"/>
      <c r="B626" s="115" t="s">
        <v>585</v>
      </c>
      <c r="C626" s="114">
        <f>COUNTIF(PerfformioTeithio!$R:$R,"Do")</f>
        <v>0</v>
      </c>
      <c r="D626" s="14"/>
      <c r="E626" s="14"/>
      <c r="F626" s="14"/>
      <c r="G626" s="14"/>
      <c r="H626" s="14"/>
      <c r="I626" s="14"/>
      <c r="J626" s="14"/>
      <c r="K626" s="100"/>
      <c r="L626" s="102"/>
      <c r="M626" s="102"/>
    </row>
    <row r="627" spans="1:13">
      <c r="A627" s="113"/>
      <c r="B627" s="115" t="s">
        <v>90</v>
      </c>
      <c r="C627" s="114">
        <f>COUNTIF(PerfformioTeithio!$S:$S,"Do")</f>
        <v>0</v>
      </c>
      <c r="D627" s="14"/>
      <c r="E627" s="14"/>
      <c r="F627" s="14"/>
      <c r="G627" s="14"/>
      <c r="H627" s="14"/>
      <c r="I627" s="14"/>
      <c r="J627" s="14"/>
      <c r="K627" s="100"/>
      <c r="L627" s="102"/>
      <c r="M627" s="102"/>
    </row>
    <row r="628" spans="1:13">
      <c r="A628" s="113"/>
      <c r="B628" s="115" t="s">
        <v>586</v>
      </c>
      <c r="C628" s="114">
        <f>COUNTIF(PerfformioTeithio!$T:$T,"Do")</f>
        <v>0</v>
      </c>
      <c r="D628" s="14"/>
      <c r="E628" s="14"/>
      <c r="F628" s="14"/>
      <c r="G628" s="14"/>
      <c r="H628" s="14"/>
      <c r="I628" s="14"/>
      <c r="J628" s="14"/>
      <c r="K628" s="100"/>
      <c r="L628" s="102"/>
      <c r="M628" s="102"/>
    </row>
    <row r="629" spans="1:13">
      <c r="A629" s="113"/>
      <c r="B629" s="115" t="s">
        <v>587</v>
      </c>
      <c r="C629" s="114">
        <f>COUNTIF(PerfformioTeithio!$U:$U,"Do")</f>
        <v>0</v>
      </c>
      <c r="D629" s="14"/>
      <c r="E629" s="14"/>
      <c r="F629" s="14"/>
      <c r="G629" s="14"/>
      <c r="H629" s="14"/>
      <c r="I629" s="14"/>
      <c r="J629" s="14"/>
      <c r="K629" s="100"/>
      <c r="L629" s="102"/>
      <c r="M629" s="102"/>
    </row>
    <row r="630" spans="1:13">
      <c r="A630" s="113"/>
      <c r="B630" s="115" t="s">
        <v>588</v>
      </c>
      <c r="C630" s="114">
        <f>COUNTIF(PerfformioTeithio!$V:$V,"Do")</f>
        <v>0</v>
      </c>
      <c r="D630" s="14"/>
      <c r="E630" s="14"/>
      <c r="F630" s="14"/>
      <c r="G630" s="14"/>
      <c r="H630" s="14"/>
      <c r="I630" s="14"/>
      <c r="J630" s="14"/>
      <c r="K630" s="100"/>
      <c r="L630" s="102"/>
      <c r="M630" s="102"/>
    </row>
    <row r="631" spans="1:13">
      <c r="A631" s="113"/>
      <c r="B631" s="115" t="s">
        <v>589</v>
      </c>
      <c r="C631" s="114">
        <f>COUNTIF(PerfformioTeithio!$W:$W,"Do")</f>
        <v>0</v>
      </c>
      <c r="D631" s="14"/>
      <c r="E631" s="14"/>
      <c r="F631" s="14"/>
      <c r="G631" s="14"/>
      <c r="H631" s="14"/>
      <c r="I631" s="14"/>
      <c r="J631" s="14"/>
      <c r="K631" s="100"/>
      <c r="L631" s="102"/>
      <c r="M631" s="102"/>
    </row>
    <row r="632" spans="1:13">
      <c r="A632" s="113"/>
      <c r="B632" s="115" t="s">
        <v>590</v>
      </c>
      <c r="C632" s="114">
        <f>COUNTIF(PerfformioTeithio!$X:$X,"Do")</f>
        <v>0</v>
      </c>
      <c r="D632" s="14"/>
      <c r="E632" s="14"/>
      <c r="F632" s="14"/>
      <c r="G632" s="14"/>
      <c r="H632" s="14"/>
      <c r="I632" s="14"/>
      <c r="J632" s="14"/>
      <c r="K632" s="100"/>
      <c r="L632" s="102"/>
      <c r="M632" s="102"/>
    </row>
    <row r="633" spans="1:13">
      <c r="A633" s="113"/>
      <c r="B633" s="115" t="s">
        <v>96</v>
      </c>
      <c r="C633" s="114">
        <f>COUNTIF(PerfformioTeithio!$Y:$Y,"Do")</f>
        <v>0</v>
      </c>
      <c r="D633" s="14"/>
      <c r="E633" s="14"/>
      <c r="F633" s="14"/>
      <c r="G633" s="14"/>
      <c r="H633" s="14"/>
      <c r="I633" s="14"/>
      <c r="J633" s="14"/>
      <c r="K633" s="100"/>
      <c r="L633" s="102"/>
      <c r="M633" s="102"/>
    </row>
    <row r="634" spans="1:13">
      <c r="A634" s="113"/>
      <c r="B634" s="115" t="s">
        <v>97</v>
      </c>
      <c r="C634" s="114">
        <f>COUNTIF(PerfformioTeithio!$Z:$Z,"Do")</f>
        <v>0</v>
      </c>
      <c r="D634" s="14"/>
      <c r="E634" s="14"/>
      <c r="F634" s="14"/>
      <c r="G634" s="14"/>
      <c r="H634" s="14"/>
      <c r="I634" s="14"/>
      <c r="J634" s="14"/>
      <c r="K634" s="100"/>
      <c r="L634" s="102"/>
      <c r="M634" s="102"/>
    </row>
    <row r="635" spans="1:13">
      <c r="A635" s="113" t="s">
        <v>652</v>
      </c>
      <c r="B635" s="115" t="s">
        <v>593</v>
      </c>
      <c r="C635" s="114">
        <f>COUNTIF(PerfformioTeithio!$AB:$AB,"Do")</f>
        <v>0</v>
      </c>
      <c r="D635" s="14"/>
      <c r="E635" s="14"/>
      <c r="F635" s="14"/>
      <c r="G635" s="14"/>
      <c r="H635" s="14"/>
      <c r="I635" s="14"/>
      <c r="J635" s="14"/>
      <c r="K635" s="100"/>
      <c r="L635" s="102"/>
      <c r="M635" s="102"/>
    </row>
    <row r="636" spans="1:13">
      <c r="A636" s="113"/>
      <c r="B636" s="115" t="s">
        <v>594</v>
      </c>
      <c r="C636" s="114">
        <f>COUNTIF(PerfformioTeithio!$AC:$AC,"Do")</f>
        <v>0</v>
      </c>
      <c r="D636" s="14"/>
      <c r="E636" s="14"/>
      <c r="F636" s="14"/>
      <c r="G636" s="14"/>
      <c r="H636" s="14"/>
      <c r="I636" s="14"/>
      <c r="J636" s="14"/>
      <c r="K636" s="100"/>
      <c r="L636" s="102"/>
      <c r="M636" s="102"/>
    </row>
    <row r="637" spans="1:13">
      <c r="A637" s="113"/>
      <c r="B637" s="115" t="s">
        <v>595</v>
      </c>
      <c r="C637" s="114">
        <f>COUNTIF(PerfformioTeithio!$AD:$AD,"Do")</f>
        <v>0</v>
      </c>
      <c r="D637" s="14"/>
      <c r="E637" s="14"/>
      <c r="F637" s="14"/>
      <c r="G637" s="14"/>
      <c r="H637" s="14"/>
      <c r="I637" s="14"/>
      <c r="J637" s="14"/>
      <c r="K637" s="100"/>
      <c r="L637" s="102"/>
      <c r="M637" s="102"/>
    </row>
    <row r="638" spans="1:13">
      <c r="A638" s="113"/>
      <c r="B638" s="115" t="s">
        <v>596</v>
      </c>
      <c r="C638" s="114">
        <f>COUNTIF(PerfformioTeithio!$AE:$AE,"Do")</f>
        <v>0</v>
      </c>
      <c r="D638" s="14"/>
      <c r="E638" s="14"/>
      <c r="F638" s="14"/>
      <c r="G638" s="14"/>
      <c r="H638" s="14"/>
      <c r="I638" s="14"/>
      <c r="J638" s="14"/>
      <c r="K638" s="100"/>
      <c r="L638" s="102"/>
      <c r="M638" s="102"/>
    </row>
    <row r="639" spans="1:13">
      <c r="A639" s="113"/>
      <c r="B639" s="115" t="s">
        <v>597</v>
      </c>
      <c r="C639" s="114">
        <f>COUNTIF(PerfformioTeithio!$AF:$AF,"Do")</f>
        <v>0</v>
      </c>
      <c r="D639" s="14"/>
      <c r="E639" s="14"/>
      <c r="F639" s="14"/>
      <c r="G639" s="14"/>
      <c r="H639" s="14"/>
      <c r="I639" s="14"/>
      <c r="J639" s="14"/>
      <c r="K639" s="100"/>
      <c r="L639" s="102"/>
      <c r="M639" s="102"/>
    </row>
    <row r="640" spans="1:13" ht="29">
      <c r="A640" s="113"/>
      <c r="B640" s="115" t="s">
        <v>598</v>
      </c>
      <c r="C640" s="114">
        <f>COUNTIF(PerfformioTeithio!$AG:$AG,"Do")</f>
        <v>0</v>
      </c>
      <c r="D640" s="14"/>
      <c r="E640" s="14"/>
      <c r="F640" s="14"/>
      <c r="G640" s="14"/>
      <c r="H640" s="14"/>
      <c r="I640" s="14"/>
      <c r="J640" s="14"/>
      <c r="K640" s="100"/>
      <c r="L640" s="102"/>
      <c r="M640" s="102"/>
    </row>
    <row r="641" spans="1:13">
      <c r="A641" s="113" t="s">
        <v>653</v>
      </c>
      <c r="B641" s="115" t="s">
        <v>654</v>
      </c>
      <c r="C641" s="114">
        <f>SUM(PerfformioTeithio!$AI:$AI)</f>
        <v>0</v>
      </c>
      <c r="D641" s="102">
        <f t="shared" ref="D641:D704" si="452">L641</f>
        <v>1</v>
      </c>
      <c r="E641" s="14"/>
      <c r="F641" s="14"/>
      <c r="G641" s="14"/>
      <c r="H641" s="14"/>
      <c r="I641" s="14"/>
      <c r="J641" s="14"/>
      <c r="K641" s="100"/>
      <c r="L641" s="102">
        <f>IF(M641="ok",1,0)</f>
        <v>1</v>
      </c>
      <c r="M641" s="102" t="str">
        <f t="shared" ref="M641" si="453">IF(AND(C641&gt;=0.1,SUM(C642)&gt;=C641),"ok",IF(AND(C641=0,SUM(C642)=0),"ok",IF(AND(C641&gt;0.1,SUM(C642)=0),"wrong",IF(AND(C641=0,SUM(C642)&gt;0.1),"wrong"))))</f>
        <v>ok</v>
      </c>
    </row>
    <row r="642" spans="1:13">
      <c r="A642" s="113"/>
      <c r="B642" s="115" t="s">
        <v>655</v>
      </c>
      <c r="C642" s="114">
        <f>SUM(PerfformioTeithio!$AO:$AO)</f>
        <v>0</v>
      </c>
      <c r="D642" s="102">
        <f t="shared" si="452"/>
        <v>1</v>
      </c>
      <c r="E642" s="14"/>
      <c r="F642" s="14"/>
      <c r="G642" s="14"/>
      <c r="H642" s="14"/>
      <c r="I642" s="14"/>
      <c r="J642" s="14"/>
      <c r="K642" s="100"/>
      <c r="L642" s="102">
        <f t="shared" ref="L642:L705" si="454">IF(M642="ok",1,0)</f>
        <v>1</v>
      </c>
      <c r="M642" s="102" t="str">
        <f t="shared" ref="M642" si="455">IF(C641&lt;=C642,"ok","wrong")</f>
        <v>ok</v>
      </c>
    </row>
    <row r="643" spans="1:13">
      <c r="A643" s="113"/>
      <c r="B643" s="115" t="s">
        <v>656</v>
      </c>
      <c r="C643" s="114">
        <f>SUM(PerfformioTeithio!$AJ:$AJ)</f>
        <v>0</v>
      </c>
      <c r="D643" s="102">
        <f t="shared" si="452"/>
        <v>1</v>
      </c>
      <c r="E643" s="14"/>
      <c r="F643" s="14"/>
      <c r="G643" s="14"/>
      <c r="H643" s="14"/>
      <c r="I643" s="14"/>
      <c r="J643" s="14"/>
      <c r="K643" s="100"/>
      <c r="L643" s="102">
        <f t="shared" si="454"/>
        <v>1</v>
      </c>
      <c r="M643" s="102" t="str">
        <f t="shared" ref="M643" si="456">IF(AND(C643&gt;=0.1,SUM(C644)&gt;=C643),"ok",IF(AND(C643=0,SUM(C644)=0),"ok",IF(AND(C643&gt;0.1,SUM(C644)=0),"wrong",IF(AND(C643=0,SUM(C644)&gt;0.1),"wrong"))))</f>
        <v>ok</v>
      </c>
    </row>
    <row r="644" spans="1:13">
      <c r="A644" s="113"/>
      <c r="B644" s="115" t="s">
        <v>657</v>
      </c>
      <c r="C644" s="114">
        <f>SUM(PerfformioTeithio!$AP:$AP)</f>
        <v>0</v>
      </c>
      <c r="D644" s="102">
        <f t="shared" si="452"/>
        <v>1</v>
      </c>
      <c r="E644" s="14"/>
      <c r="F644" s="14"/>
      <c r="G644" s="14"/>
      <c r="H644" s="14"/>
      <c r="I644" s="14"/>
      <c r="J644" s="14"/>
      <c r="K644" s="100"/>
      <c r="L644" s="102">
        <f t="shared" si="454"/>
        <v>1</v>
      </c>
      <c r="M644" s="102" t="str">
        <f t="shared" ref="M644" si="457">IF(C643&lt;=C644,"ok","wrong")</f>
        <v>ok</v>
      </c>
    </row>
    <row r="645" spans="1:13">
      <c r="A645" s="113"/>
      <c r="B645" s="115" t="s">
        <v>658</v>
      </c>
      <c r="C645" s="114">
        <f>SUM(PerfformioTeithio!$AK:$AK)</f>
        <v>0</v>
      </c>
      <c r="D645" s="102">
        <f t="shared" si="452"/>
        <v>1</v>
      </c>
      <c r="E645" s="14"/>
      <c r="F645" s="14"/>
      <c r="G645" s="14"/>
      <c r="H645" s="14"/>
      <c r="I645" s="14"/>
      <c r="J645" s="14"/>
      <c r="K645" s="100"/>
      <c r="L645" s="102">
        <f t="shared" si="454"/>
        <v>1</v>
      </c>
      <c r="M645" s="102" t="str">
        <f t="shared" ref="M645" si="458">IF(AND(C645&gt;=0.1,SUM(C646)&gt;=C645),"ok",IF(AND(C645=0,SUM(C646)=0),"ok",IF(AND(C645&gt;0.1,SUM(C646)=0),"wrong",IF(AND(C645=0,SUM(C646)&gt;0.1),"wrong"))))</f>
        <v>ok</v>
      </c>
    </row>
    <row r="646" spans="1:13">
      <c r="A646" s="113"/>
      <c r="B646" s="115" t="s">
        <v>659</v>
      </c>
      <c r="C646" s="114">
        <f>SUM(PerfformioTeithio!$Q:$AQ)</f>
        <v>0</v>
      </c>
      <c r="D646" s="102">
        <f t="shared" si="452"/>
        <v>1</v>
      </c>
      <c r="E646" s="14"/>
      <c r="F646" s="14"/>
      <c r="G646" s="14"/>
      <c r="H646" s="14"/>
      <c r="I646" s="14"/>
      <c r="J646" s="14"/>
      <c r="K646" s="100"/>
      <c r="L646" s="102">
        <f t="shared" si="454"/>
        <v>1</v>
      </c>
      <c r="M646" s="102" t="str">
        <f t="shared" ref="M646" si="459">IF(C645&lt;=C646,"ok","wrong")</f>
        <v>ok</v>
      </c>
    </row>
    <row r="647" spans="1:13">
      <c r="A647" s="113"/>
      <c r="B647" s="115" t="s">
        <v>660</v>
      </c>
      <c r="C647" s="114">
        <f>SUM(PerfformioTeithio!$AL:$AL)</f>
        <v>0</v>
      </c>
      <c r="D647" s="102">
        <f t="shared" si="452"/>
        <v>1</v>
      </c>
      <c r="E647" s="14"/>
      <c r="F647" s="14"/>
      <c r="G647" s="14"/>
      <c r="H647" s="14"/>
      <c r="I647" s="14"/>
      <c r="J647" s="14"/>
      <c r="K647" s="100"/>
      <c r="L647" s="102">
        <f t="shared" si="454"/>
        <v>1</v>
      </c>
      <c r="M647" s="102" t="str">
        <f t="shared" ref="M647" si="460">IF(AND(C647&gt;=0.1,SUM(C648)&gt;=C647),"ok",IF(AND(C647=0,SUM(C648)=0),"ok",IF(AND(C647&gt;0.1,SUM(C648)=0),"wrong",IF(AND(C647=0,SUM(C648)&gt;0.1),"wrong"))))</f>
        <v>ok</v>
      </c>
    </row>
    <row r="648" spans="1:13">
      <c r="A648" s="113"/>
      <c r="B648" s="115" t="s">
        <v>661</v>
      </c>
      <c r="C648" s="114">
        <f>SUM(PerfformioTeithio!$AR:$AR)</f>
        <v>0</v>
      </c>
      <c r="D648" s="102">
        <f t="shared" si="452"/>
        <v>1</v>
      </c>
      <c r="E648" s="14"/>
      <c r="F648" s="14"/>
      <c r="G648" s="14"/>
      <c r="H648" s="14"/>
      <c r="I648" s="14"/>
      <c r="J648" s="14"/>
      <c r="K648" s="100"/>
      <c r="L648" s="102">
        <f t="shared" si="454"/>
        <v>1</v>
      </c>
      <c r="M648" s="102" t="str">
        <f t="shared" ref="M648" si="461">IF(C647&lt;=C648,"ok","wrong")</f>
        <v>ok</v>
      </c>
    </row>
    <row r="649" spans="1:13">
      <c r="A649" s="113"/>
      <c r="B649" s="115" t="s">
        <v>662</v>
      </c>
      <c r="C649" s="114">
        <f>SUM(PerfformioTeithio!$AM:$AM)</f>
        <v>0</v>
      </c>
      <c r="D649" s="102">
        <f t="shared" si="452"/>
        <v>1</v>
      </c>
      <c r="E649" s="14"/>
      <c r="F649" s="14"/>
      <c r="G649" s="14"/>
      <c r="H649" s="14"/>
      <c r="I649" s="14"/>
      <c r="J649" s="14"/>
      <c r="K649" s="100"/>
      <c r="L649" s="102">
        <f t="shared" si="454"/>
        <v>1</v>
      </c>
      <c r="M649" s="102" t="str">
        <f t="shared" ref="M649" si="462">IF(AND(C649&gt;=0.1,SUM(C650)&gt;=C649),"ok",IF(AND(C649=0,SUM(C650)=0),"ok",IF(AND(C649&gt;0.1,SUM(C650)=0),"wrong",IF(AND(C649=0,SUM(C650)&gt;0.1),"wrong"))))</f>
        <v>ok</v>
      </c>
    </row>
    <row r="650" spans="1:13">
      <c r="A650" s="113"/>
      <c r="B650" s="115" t="s">
        <v>663</v>
      </c>
      <c r="C650" s="114">
        <f>SUM(PerfformioTeithio!$AS:$AS)</f>
        <v>0</v>
      </c>
      <c r="D650" s="102">
        <f t="shared" si="452"/>
        <v>1</v>
      </c>
      <c r="E650" s="14"/>
      <c r="F650" s="14"/>
      <c r="G650" s="14"/>
      <c r="H650" s="14"/>
      <c r="I650" s="14"/>
      <c r="J650" s="14"/>
      <c r="K650" s="100"/>
      <c r="L650" s="102">
        <f t="shared" si="454"/>
        <v>1</v>
      </c>
      <c r="M650" s="102" t="str">
        <f t="shared" ref="M650" si="463">IF(C649&lt;=C650,"ok","wrong")</f>
        <v>ok</v>
      </c>
    </row>
    <row r="651" spans="1:13" ht="29">
      <c r="A651" s="113"/>
      <c r="B651" s="115" t="s">
        <v>664</v>
      </c>
      <c r="C651" s="114">
        <f>SUM(PerfformioTeithio!$AN:$AN)</f>
        <v>0</v>
      </c>
      <c r="D651" s="102">
        <f t="shared" si="452"/>
        <v>1</v>
      </c>
      <c r="E651" s="14"/>
      <c r="F651" s="14"/>
      <c r="G651" s="14"/>
      <c r="H651" s="14"/>
      <c r="I651" s="14"/>
      <c r="J651" s="14"/>
      <c r="K651" s="100"/>
      <c r="L651" s="102">
        <f t="shared" si="454"/>
        <v>1</v>
      </c>
      <c r="M651" s="102" t="str">
        <f t="shared" ref="M651" si="464">IF(AND(C651&gt;=0.1,SUM(C652)&gt;=C651),"ok",IF(AND(C651=0,SUM(C652)=0),"ok",IF(AND(C651&gt;0.1,SUM(C652)=0),"wrong",IF(AND(C651=0,SUM(C652)&gt;0.1),"wrong"))))</f>
        <v>ok</v>
      </c>
    </row>
    <row r="652" spans="1:13" ht="29">
      <c r="A652" s="113"/>
      <c r="B652" s="115" t="s">
        <v>665</v>
      </c>
      <c r="C652" s="114">
        <f>SUM(PerfformioTeithio!$AT:$AT)</f>
        <v>0</v>
      </c>
      <c r="D652" s="102">
        <f t="shared" si="452"/>
        <v>1</v>
      </c>
      <c r="E652" s="14"/>
      <c r="F652" s="14"/>
      <c r="G652" s="14"/>
      <c r="H652" s="14"/>
      <c r="I652" s="14"/>
      <c r="J652" s="14"/>
      <c r="K652" s="100"/>
      <c r="L652" s="102">
        <f t="shared" si="454"/>
        <v>1</v>
      </c>
      <c r="M652" s="102" t="str">
        <f t="shared" ref="M652" si="465">IF(C651&lt;=C652,"ok","wrong")</f>
        <v>ok</v>
      </c>
    </row>
    <row r="653" spans="1:13">
      <c r="A653" s="113" t="s">
        <v>666</v>
      </c>
      <c r="B653" s="115" t="s">
        <v>654</v>
      </c>
      <c r="C653" s="114">
        <f>SUM(PerfformioTeithio!$AV:$AV)</f>
        <v>0</v>
      </c>
      <c r="D653" s="102">
        <f t="shared" si="452"/>
        <v>1</v>
      </c>
      <c r="E653" s="14"/>
      <c r="F653" s="14"/>
      <c r="G653" s="14"/>
      <c r="H653" s="14"/>
      <c r="I653" s="14"/>
      <c r="J653" s="14"/>
      <c r="K653" s="100"/>
      <c r="L653" s="102">
        <f t="shared" si="454"/>
        <v>1</v>
      </c>
      <c r="M653" s="102" t="str">
        <f t="shared" ref="M653" si="466">IF(AND(C653&gt;=0.1,SUM(C654)&gt;=C653),"ok",IF(AND(C653=0,SUM(C654)=0),"ok",IF(AND(C653&gt;0.1,SUM(C654)=0),"wrong",IF(AND(C653=0,SUM(C654)&gt;0.1),"wrong"))))</f>
        <v>ok</v>
      </c>
    </row>
    <row r="654" spans="1:13">
      <c r="A654" s="113"/>
      <c r="B654" s="115" t="s">
        <v>655</v>
      </c>
      <c r="C654" s="114">
        <f>SUM(PerfformioTeithio!$BB:$BB)</f>
        <v>0</v>
      </c>
      <c r="D654" s="102">
        <f t="shared" si="452"/>
        <v>1</v>
      </c>
      <c r="E654" s="14"/>
      <c r="F654" s="14"/>
      <c r="G654" s="14"/>
      <c r="H654" s="14"/>
      <c r="I654" s="14"/>
      <c r="J654" s="14"/>
      <c r="K654" s="100"/>
      <c r="L654" s="102">
        <f t="shared" si="454"/>
        <v>1</v>
      </c>
      <c r="M654" s="102" t="str">
        <f t="shared" ref="M654" si="467">IF(C653&lt;=C654,"ok","wrong")</f>
        <v>ok</v>
      </c>
    </row>
    <row r="655" spans="1:13">
      <c r="A655" s="113"/>
      <c r="B655" s="115" t="s">
        <v>656</v>
      </c>
      <c r="C655" s="114">
        <f>SUM(PerfformioTeithio!$AW:$AW)</f>
        <v>0</v>
      </c>
      <c r="D655" s="102">
        <f t="shared" si="452"/>
        <v>1</v>
      </c>
      <c r="E655" s="14"/>
      <c r="F655" s="14"/>
      <c r="G655" s="14"/>
      <c r="H655" s="14"/>
      <c r="I655" s="14"/>
      <c r="J655" s="14"/>
      <c r="K655" s="100"/>
      <c r="L655" s="102">
        <f t="shared" si="454"/>
        <v>1</v>
      </c>
      <c r="M655" s="102" t="str">
        <f t="shared" ref="M655" si="468">IF(AND(C655&gt;=0.1,SUM(C656)&gt;=C655),"ok",IF(AND(C655=0,SUM(C656)=0),"ok",IF(AND(C655&gt;0.1,SUM(C656)=0),"wrong",IF(AND(C655=0,SUM(C656)&gt;0.1),"wrong"))))</f>
        <v>ok</v>
      </c>
    </row>
    <row r="656" spans="1:13">
      <c r="A656" s="113"/>
      <c r="B656" s="115" t="s">
        <v>657</v>
      </c>
      <c r="C656" s="114">
        <f>SUM(PerfformioTeithio!$BC:$BC)</f>
        <v>0</v>
      </c>
      <c r="D656" s="102">
        <f t="shared" si="452"/>
        <v>1</v>
      </c>
      <c r="E656" s="14"/>
      <c r="F656" s="14"/>
      <c r="G656" s="14"/>
      <c r="H656" s="14"/>
      <c r="I656" s="14"/>
      <c r="J656" s="14"/>
      <c r="K656" s="100"/>
      <c r="L656" s="102">
        <f t="shared" si="454"/>
        <v>1</v>
      </c>
      <c r="M656" s="102" t="str">
        <f t="shared" ref="M656" si="469">IF(C655&lt;=C656,"ok","wrong")</f>
        <v>ok</v>
      </c>
    </row>
    <row r="657" spans="1:13">
      <c r="A657" s="113"/>
      <c r="B657" s="115" t="s">
        <v>658</v>
      </c>
      <c r="C657" s="114">
        <f>SUM(PerfformioTeithio!$AX:$AX)</f>
        <v>0</v>
      </c>
      <c r="D657" s="102">
        <f t="shared" si="452"/>
        <v>1</v>
      </c>
      <c r="E657" s="14"/>
      <c r="F657" s="14"/>
      <c r="G657" s="14"/>
      <c r="H657" s="14"/>
      <c r="I657" s="14"/>
      <c r="J657" s="14"/>
      <c r="K657" s="100"/>
      <c r="L657" s="102">
        <f t="shared" si="454"/>
        <v>1</v>
      </c>
      <c r="M657" s="102" t="str">
        <f t="shared" ref="M657" si="470">IF(AND(C657&gt;=0.1,SUM(C658)&gt;=C657),"ok",IF(AND(C657=0,SUM(C658)=0),"ok",IF(AND(C657&gt;0.1,SUM(C658)=0),"wrong",IF(AND(C657=0,SUM(C658)&gt;0.1),"wrong"))))</f>
        <v>ok</v>
      </c>
    </row>
    <row r="658" spans="1:13">
      <c r="A658" s="113"/>
      <c r="B658" s="115" t="s">
        <v>659</v>
      </c>
      <c r="C658" s="114">
        <f>SUM(PerfformioTeithio!$BD:$BD)</f>
        <v>0</v>
      </c>
      <c r="D658" s="102">
        <f t="shared" si="452"/>
        <v>1</v>
      </c>
      <c r="E658" s="14"/>
      <c r="F658" s="14"/>
      <c r="G658" s="14"/>
      <c r="H658" s="14"/>
      <c r="I658" s="14"/>
      <c r="J658" s="14"/>
      <c r="K658" s="100"/>
      <c r="L658" s="102">
        <f t="shared" si="454"/>
        <v>1</v>
      </c>
      <c r="M658" s="102" t="str">
        <f t="shared" ref="M658" si="471">IF(C657&lt;=C658,"ok","wrong")</f>
        <v>ok</v>
      </c>
    </row>
    <row r="659" spans="1:13">
      <c r="A659" s="113"/>
      <c r="B659" s="115" t="s">
        <v>660</v>
      </c>
      <c r="C659" s="114">
        <f>SUM(PerfformioTeithio!$AY:$AY)</f>
        <v>0</v>
      </c>
      <c r="D659" s="102">
        <f t="shared" si="452"/>
        <v>1</v>
      </c>
      <c r="E659" s="14"/>
      <c r="F659" s="14"/>
      <c r="G659" s="14"/>
      <c r="H659" s="14"/>
      <c r="I659" s="14"/>
      <c r="J659" s="14"/>
      <c r="K659" s="100"/>
      <c r="L659" s="102">
        <f t="shared" si="454"/>
        <v>1</v>
      </c>
      <c r="M659" s="102" t="str">
        <f t="shared" ref="M659" si="472">IF(AND(C659&gt;=0.1,SUM(C660)&gt;=C659),"ok",IF(AND(C659=0,SUM(C660)=0),"ok",IF(AND(C659&gt;0.1,SUM(C660)=0),"wrong",IF(AND(C659=0,SUM(C660)&gt;0.1),"wrong"))))</f>
        <v>ok</v>
      </c>
    </row>
    <row r="660" spans="1:13">
      <c r="A660" s="113"/>
      <c r="B660" s="115" t="s">
        <v>661</v>
      </c>
      <c r="C660" s="114">
        <f>SUM(PerfformioTeithio!$BE:$BE)</f>
        <v>0</v>
      </c>
      <c r="D660" s="102">
        <f t="shared" si="452"/>
        <v>1</v>
      </c>
      <c r="E660" s="14"/>
      <c r="F660" s="14"/>
      <c r="G660" s="14"/>
      <c r="H660" s="14"/>
      <c r="I660" s="14"/>
      <c r="J660" s="14"/>
      <c r="K660" s="100"/>
      <c r="L660" s="102">
        <f t="shared" si="454"/>
        <v>1</v>
      </c>
      <c r="M660" s="102" t="str">
        <f t="shared" ref="M660" si="473">IF(C659&lt;=C660,"ok","wrong")</f>
        <v>ok</v>
      </c>
    </row>
    <row r="661" spans="1:13">
      <c r="A661" s="113"/>
      <c r="B661" s="115" t="s">
        <v>662</v>
      </c>
      <c r="C661" s="114">
        <f>SUM(PerfformioTeithio!$AZ:$AZ)</f>
        <v>0</v>
      </c>
      <c r="D661" s="102">
        <f t="shared" si="452"/>
        <v>1</v>
      </c>
      <c r="E661" s="14"/>
      <c r="F661" s="14"/>
      <c r="G661" s="14"/>
      <c r="H661" s="14"/>
      <c r="I661" s="14"/>
      <c r="J661" s="14"/>
      <c r="K661" s="100"/>
      <c r="L661" s="102">
        <f t="shared" si="454"/>
        <v>1</v>
      </c>
      <c r="M661" s="102" t="str">
        <f t="shared" ref="M661" si="474">IF(AND(C661&gt;=0.1,SUM(C662)&gt;=C661),"ok",IF(AND(C661=0,SUM(C662)=0),"ok",IF(AND(C661&gt;0.1,SUM(C662)=0),"wrong",IF(AND(C661=0,SUM(C662)&gt;0.1),"wrong"))))</f>
        <v>ok</v>
      </c>
    </row>
    <row r="662" spans="1:13">
      <c r="A662" s="113"/>
      <c r="B662" s="115" t="s">
        <v>663</v>
      </c>
      <c r="C662" s="114">
        <f>SUM(PerfformioTeithio!$BF:$BF)</f>
        <v>0</v>
      </c>
      <c r="D662" s="102">
        <f t="shared" si="452"/>
        <v>1</v>
      </c>
      <c r="E662" s="14"/>
      <c r="F662" s="14"/>
      <c r="G662" s="14"/>
      <c r="H662" s="14"/>
      <c r="I662" s="14"/>
      <c r="J662" s="14"/>
      <c r="K662" s="100"/>
      <c r="L662" s="102">
        <f t="shared" si="454"/>
        <v>1</v>
      </c>
      <c r="M662" s="102" t="str">
        <f t="shared" ref="M662" si="475">IF(C661&lt;=C662,"ok","wrong")</f>
        <v>ok</v>
      </c>
    </row>
    <row r="663" spans="1:13" ht="29">
      <c r="A663" s="113"/>
      <c r="B663" s="115" t="s">
        <v>664</v>
      </c>
      <c r="C663" s="114">
        <f>SUM(PerfformioTeithio!$BA:$BA)</f>
        <v>0</v>
      </c>
      <c r="D663" s="102">
        <f t="shared" si="452"/>
        <v>1</v>
      </c>
      <c r="E663" s="14"/>
      <c r="F663" s="14"/>
      <c r="G663" s="14"/>
      <c r="H663" s="14"/>
      <c r="I663" s="14"/>
      <c r="J663" s="14"/>
      <c r="K663" s="100"/>
      <c r="L663" s="102">
        <f t="shared" si="454"/>
        <v>1</v>
      </c>
      <c r="M663" s="102" t="str">
        <f t="shared" ref="M663" si="476">IF(AND(C663&gt;=0.1,SUM(C664)&gt;=C663),"ok",IF(AND(C663=0,SUM(C664)=0),"ok",IF(AND(C663&gt;0.1,SUM(C664)=0),"wrong",IF(AND(C663=0,SUM(C664)&gt;0.1),"wrong"))))</f>
        <v>ok</v>
      </c>
    </row>
    <row r="664" spans="1:13" ht="29">
      <c r="A664" s="113"/>
      <c r="B664" s="115" t="s">
        <v>665</v>
      </c>
      <c r="C664" s="114">
        <f>SUM(PerfformioTeithio!$BG:$BG)</f>
        <v>0</v>
      </c>
      <c r="D664" s="102">
        <f t="shared" si="452"/>
        <v>1</v>
      </c>
      <c r="E664" s="14"/>
      <c r="F664" s="14"/>
      <c r="G664" s="14"/>
      <c r="H664" s="14"/>
      <c r="I664" s="14"/>
      <c r="J664" s="14"/>
      <c r="K664" s="100"/>
      <c r="L664" s="102">
        <f t="shared" si="454"/>
        <v>1</v>
      </c>
      <c r="M664" s="102" t="str">
        <f t="shared" ref="M664" si="477">IF(C663&lt;=C664,"ok","wrong")</f>
        <v>ok</v>
      </c>
    </row>
    <row r="665" spans="1:13">
      <c r="A665" s="113" t="s">
        <v>667</v>
      </c>
      <c r="B665" s="115" t="s">
        <v>654</v>
      </c>
      <c r="C665" s="114">
        <f>SUM(PerfformioTeithio!$BI:$BI)</f>
        <v>0</v>
      </c>
      <c r="D665" s="102">
        <f t="shared" si="452"/>
        <v>1</v>
      </c>
      <c r="E665" s="14"/>
      <c r="F665" s="14"/>
      <c r="G665" s="14"/>
      <c r="H665" s="14"/>
      <c r="I665" s="14"/>
      <c r="J665" s="14"/>
      <c r="K665" s="100"/>
      <c r="L665" s="102">
        <f t="shared" si="454"/>
        <v>1</v>
      </c>
      <c r="M665" s="102" t="str">
        <f t="shared" ref="M665" si="478">IF(AND(C665&gt;=0.1,SUM(C666)&gt;=C665),"ok",IF(AND(C665=0,SUM(C666)=0),"ok",IF(AND(C665&gt;0.1,SUM(C666)=0),"wrong",IF(AND(C665=0,SUM(C666)&gt;0.1),"wrong"))))</f>
        <v>ok</v>
      </c>
    </row>
    <row r="666" spans="1:13">
      <c r="A666" s="113"/>
      <c r="B666" s="115" t="s">
        <v>655</v>
      </c>
      <c r="C666" s="114">
        <f>SUM(PerfformioTeithio!$BO:$BO)</f>
        <v>0</v>
      </c>
      <c r="D666" s="102">
        <f t="shared" si="452"/>
        <v>1</v>
      </c>
      <c r="E666" s="14"/>
      <c r="F666" s="14"/>
      <c r="G666" s="14"/>
      <c r="H666" s="14"/>
      <c r="I666" s="14"/>
      <c r="J666" s="14"/>
      <c r="K666" s="100"/>
      <c r="L666" s="102">
        <f t="shared" si="454"/>
        <v>1</v>
      </c>
      <c r="M666" s="102" t="str">
        <f t="shared" ref="M666" si="479">IF(C665&lt;=C666,"ok","wrong")</f>
        <v>ok</v>
      </c>
    </row>
    <row r="667" spans="1:13">
      <c r="A667" s="113"/>
      <c r="B667" s="115" t="s">
        <v>656</v>
      </c>
      <c r="C667" s="114">
        <f>SUM(PerfformioTeithio!$BJ:$BJ)</f>
        <v>0</v>
      </c>
      <c r="D667" s="102">
        <f t="shared" si="452"/>
        <v>1</v>
      </c>
      <c r="E667" s="14"/>
      <c r="F667" s="14"/>
      <c r="G667" s="14"/>
      <c r="H667" s="14"/>
      <c r="I667" s="14"/>
      <c r="J667" s="14"/>
      <c r="K667" s="100"/>
      <c r="L667" s="102">
        <f t="shared" si="454"/>
        <v>1</v>
      </c>
      <c r="M667" s="102" t="str">
        <f t="shared" ref="M667" si="480">IF(AND(C667&gt;=0.1,SUM(C668)&gt;=C667),"ok",IF(AND(C667=0,SUM(C668)=0),"ok",IF(AND(C667&gt;0.1,SUM(C668)=0),"wrong",IF(AND(C667=0,SUM(C668)&gt;0.1),"wrong"))))</f>
        <v>ok</v>
      </c>
    </row>
    <row r="668" spans="1:13">
      <c r="A668" s="113"/>
      <c r="B668" s="115" t="s">
        <v>657</v>
      </c>
      <c r="C668" s="114">
        <f>SUM(PerfformioTeithio!$BP:$BP)</f>
        <v>0</v>
      </c>
      <c r="D668" s="102">
        <f t="shared" si="452"/>
        <v>1</v>
      </c>
      <c r="E668" s="14"/>
      <c r="F668" s="14"/>
      <c r="G668" s="14"/>
      <c r="H668" s="14"/>
      <c r="I668" s="14"/>
      <c r="J668" s="14"/>
      <c r="K668" s="100"/>
      <c r="L668" s="102">
        <f t="shared" si="454"/>
        <v>1</v>
      </c>
      <c r="M668" s="102" t="str">
        <f t="shared" ref="M668" si="481">IF(C667&lt;=C668,"ok","wrong")</f>
        <v>ok</v>
      </c>
    </row>
    <row r="669" spans="1:13">
      <c r="A669" s="113"/>
      <c r="B669" s="115" t="s">
        <v>658</v>
      </c>
      <c r="C669" s="114">
        <f>SUM(PerfformioTeithio!$BK:$BK)</f>
        <v>0</v>
      </c>
      <c r="D669" s="102">
        <f t="shared" si="452"/>
        <v>1</v>
      </c>
      <c r="E669" s="14"/>
      <c r="F669" s="14"/>
      <c r="G669" s="14"/>
      <c r="H669" s="14"/>
      <c r="I669" s="14"/>
      <c r="J669" s="14"/>
      <c r="K669" s="100"/>
      <c r="L669" s="102">
        <f t="shared" si="454"/>
        <v>1</v>
      </c>
      <c r="M669" s="102" t="str">
        <f t="shared" ref="M669" si="482">IF(AND(C669&gt;=0.1,SUM(C670)&gt;=C669),"ok",IF(AND(C669=0,SUM(C670)=0),"ok",IF(AND(C669&gt;0.1,SUM(C670)=0),"wrong",IF(AND(C669=0,SUM(C670)&gt;0.1),"wrong"))))</f>
        <v>ok</v>
      </c>
    </row>
    <row r="670" spans="1:13">
      <c r="A670" s="113"/>
      <c r="B670" s="115" t="s">
        <v>659</v>
      </c>
      <c r="C670" s="114">
        <f>SUM(PerfformioTeithio!$BQ:$BQ)</f>
        <v>0</v>
      </c>
      <c r="D670" s="102">
        <f t="shared" si="452"/>
        <v>1</v>
      </c>
      <c r="E670" s="14"/>
      <c r="F670" s="14"/>
      <c r="G670" s="14"/>
      <c r="H670" s="14"/>
      <c r="I670" s="14"/>
      <c r="J670" s="14"/>
      <c r="K670" s="100"/>
      <c r="L670" s="102">
        <f t="shared" si="454"/>
        <v>1</v>
      </c>
      <c r="M670" s="102" t="str">
        <f t="shared" ref="M670" si="483">IF(C669&lt;=C670,"ok","wrong")</f>
        <v>ok</v>
      </c>
    </row>
    <row r="671" spans="1:13">
      <c r="A671" s="113"/>
      <c r="B671" s="115" t="s">
        <v>660</v>
      </c>
      <c r="C671" s="114">
        <f>SUM(PerfformioTeithio!$BL:$BL)</f>
        <v>0</v>
      </c>
      <c r="D671" s="102">
        <f t="shared" si="452"/>
        <v>1</v>
      </c>
      <c r="E671" s="14"/>
      <c r="F671" s="14"/>
      <c r="G671" s="14"/>
      <c r="H671" s="14"/>
      <c r="I671" s="14"/>
      <c r="J671" s="14"/>
      <c r="K671" s="100"/>
      <c r="L671" s="102">
        <f t="shared" si="454"/>
        <v>1</v>
      </c>
      <c r="M671" s="102" t="str">
        <f t="shared" ref="M671" si="484">IF(AND(C671&gt;=0.1,SUM(C672)&gt;=C671),"ok",IF(AND(C671=0,SUM(C672)=0),"ok",IF(AND(C671&gt;0.1,SUM(C672)=0),"wrong",IF(AND(C671=0,SUM(C672)&gt;0.1),"wrong"))))</f>
        <v>ok</v>
      </c>
    </row>
    <row r="672" spans="1:13">
      <c r="A672" s="113"/>
      <c r="B672" s="115" t="s">
        <v>661</v>
      </c>
      <c r="C672" s="114">
        <f>SUM(PerfformioTeithio!$BR:$BR)</f>
        <v>0</v>
      </c>
      <c r="D672" s="102">
        <f t="shared" si="452"/>
        <v>1</v>
      </c>
      <c r="E672" s="14"/>
      <c r="F672" s="14"/>
      <c r="G672" s="14"/>
      <c r="H672" s="14"/>
      <c r="I672" s="14"/>
      <c r="J672" s="14"/>
      <c r="K672" s="100"/>
      <c r="L672" s="102">
        <f t="shared" si="454"/>
        <v>1</v>
      </c>
      <c r="M672" s="102" t="str">
        <f t="shared" ref="M672" si="485">IF(C671&lt;=C672,"ok","wrong")</f>
        <v>ok</v>
      </c>
    </row>
    <row r="673" spans="1:13">
      <c r="A673" s="113"/>
      <c r="B673" s="115" t="s">
        <v>662</v>
      </c>
      <c r="C673" s="114">
        <f>SUM(PerfformioTeithio!$BM:$BM)</f>
        <v>0</v>
      </c>
      <c r="D673" s="102">
        <f t="shared" si="452"/>
        <v>1</v>
      </c>
      <c r="E673" s="14"/>
      <c r="F673" s="14"/>
      <c r="G673" s="14"/>
      <c r="H673" s="14"/>
      <c r="I673" s="14"/>
      <c r="J673" s="14"/>
      <c r="K673" s="100"/>
      <c r="L673" s="102">
        <f t="shared" si="454"/>
        <v>1</v>
      </c>
      <c r="M673" s="102" t="str">
        <f t="shared" ref="M673" si="486">IF(AND(C673&gt;=0.1,SUM(C674)&gt;=C673),"ok",IF(AND(C673=0,SUM(C674)=0),"ok",IF(AND(C673&gt;0.1,SUM(C674)=0),"wrong",IF(AND(C673=0,SUM(C674)&gt;0.1),"wrong"))))</f>
        <v>ok</v>
      </c>
    </row>
    <row r="674" spans="1:13">
      <c r="A674" s="113"/>
      <c r="B674" s="115" t="s">
        <v>663</v>
      </c>
      <c r="C674" s="114">
        <f>SUM(PerfformioTeithio!$BS:$BS)</f>
        <v>0</v>
      </c>
      <c r="D674" s="102">
        <f t="shared" si="452"/>
        <v>1</v>
      </c>
      <c r="E674" s="14"/>
      <c r="F674" s="14"/>
      <c r="G674" s="14"/>
      <c r="H674" s="14"/>
      <c r="I674" s="14"/>
      <c r="J674" s="14"/>
      <c r="K674" s="100"/>
      <c r="L674" s="102">
        <f t="shared" si="454"/>
        <v>1</v>
      </c>
      <c r="M674" s="102" t="str">
        <f t="shared" ref="M674" si="487">IF(C673&lt;=C674,"ok","wrong")</f>
        <v>ok</v>
      </c>
    </row>
    <row r="675" spans="1:13" ht="29">
      <c r="A675" s="113"/>
      <c r="B675" s="115" t="s">
        <v>664</v>
      </c>
      <c r="C675" s="114">
        <f>SUM(PerfformioTeithio!$BN:$BN)</f>
        <v>0</v>
      </c>
      <c r="D675" s="102">
        <f t="shared" si="452"/>
        <v>1</v>
      </c>
      <c r="E675" s="14"/>
      <c r="F675" s="14"/>
      <c r="G675" s="14"/>
      <c r="H675" s="14"/>
      <c r="I675" s="14"/>
      <c r="J675" s="14"/>
      <c r="K675" s="100"/>
      <c r="L675" s="102">
        <f t="shared" si="454"/>
        <v>1</v>
      </c>
      <c r="M675" s="102" t="str">
        <f t="shared" ref="M675" si="488">IF(AND(C675&gt;=0.1,SUM(C676)&gt;=C675),"ok",IF(AND(C675=0,SUM(C676)=0),"ok",IF(AND(C675&gt;0.1,SUM(C676)=0),"wrong",IF(AND(C675=0,SUM(C676)&gt;0.1),"wrong"))))</f>
        <v>ok</v>
      </c>
    </row>
    <row r="676" spans="1:13" ht="29">
      <c r="A676" s="113"/>
      <c r="B676" s="115" t="s">
        <v>665</v>
      </c>
      <c r="C676" s="114">
        <f>SUM(PerfformioTeithio!$BT:$BT)</f>
        <v>0</v>
      </c>
      <c r="D676" s="102">
        <f t="shared" si="452"/>
        <v>1</v>
      </c>
      <c r="E676" s="14"/>
      <c r="F676" s="14"/>
      <c r="G676" s="14"/>
      <c r="H676" s="14"/>
      <c r="I676" s="14"/>
      <c r="J676" s="14"/>
      <c r="K676" s="100"/>
      <c r="L676" s="102">
        <f t="shared" si="454"/>
        <v>1</v>
      </c>
      <c r="M676" s="102" t="str">
        <f t="shared" ref="M676" si="489">IF(C675&lt;=C676,"ok","wrong")</f>
        <v>ok</v>
      </c>
    </row>
    <row r="677" spans="1:13">
      <c r="A677" s="113" t="s">
        <v>668</v>
      </c>
      <c r="B677" s="115" t="s">
        <v>654</v>
      </c>
      <c r="C677" s="114">
        <f>SUM(PerfformioTeithio!$BV:$BV)</f>
        <v>0</v>
      </c>
      <c r="D677" s="102">
        <f t="shared" si="452"/>
        <v>1</v>
      </c>
      <c r="E677" s="14"/>
      <c r="F677" s="14"/>
      <c r="G677" s="14"/>
      <c r="H677" s="14"/>
      <c r="I677" s="14"/>
      <c r="J677" s="14"/>
      <c r="K677" s="100"/>
      <c r="L677" s="102">
        <f t="shared" si="454"/>
        <v>1</v>
      </c>
      <c r="M677" s="102" t="str">
        <f t="shared" ref="M677" si="490">IF(AND(C677&gt;=0.1,SUM(C678)&gt;=C677),"ok",IF(AND(C677=0,SUM(C678)=0),"ok",IF(AND(C677&gt;0.1,SUM(C678)=0),"wrong",IF(AND(C677=0,SUM(C678)&gt;0.1),"wrong"))))</f>
        <v>ok</v>
      </c>
    </row>
    <row r="678" spans="1:13">
      <c r="A678" s="113"/>
      <c r="B678" s="115" t="s">
        <v>655</v>
      </c>
      <c r="C678" s="114">
        <f>SUM(PerfformioTeithio!$CB:$CB)</f>
        <v>0</v>
      </c>
      <c r="D678" s="102">
        <f t="shared" si="452"/>
        <v>1</v>
      </c>
      <c r="E678" s="14"/>
      <c r="F678" s="14"/>
      <c r="G678" s="14"/>
      <c r="H678" s="14"/>
      <c r="I678" s="14"/>
      <c r="J678" s="14"/>
      <c r="K678" s="100"/>
      <c r="L678" s="102">
        <f t="shared" si="454"/>
        <v>1</v>
      </c>
      <c r="M678" s="102" t="str">
        <f t="shared" ref="M678" si="491">IF(C677&lt;=C678,"ok","wrong")</f>
        <v>ok</v>
      </c>
    </row>
    <row r="679" spans="1:13">
      <c r="A679" s="113"/>
      <c r="B679" s="115" t="s">
        <v>656</v>
      </c>
      <c r="C679" s="114">
        <f>SUM(PerfformioTeithio!$BW:$BW)</f>
        <v>0</v>
      </c>
      <c r="D679" s="102">
        <f t="shared" si="452"/>
        <v>1</v>
      </c>
      <c r="E679" s="14"/>
      <c r="F679" s="14"/>
      <c r="G679" s="14"/>
      <c r="H679" s="14"/>
      <c r="I679" s="14"/>
      <c r="J679" s="14"/>
      <c r="K679" s="100"/>
      <c r="L679" s="102">
        <f t="shared" si="454"/>
        <v>1</v>
      </c>
      <c r="M679" s="102" t="str">
        <f t="shared" ref="M679" si="492">IF(AND(C679&gt;=0.1,SUM(C680)&gt;=C679),"ok",IF(AND(C679=0,SUM(C680)=0),"ok",IF(AND(C679&gt;0.1,SUM(C680)=0),"wrong",IF(AND(C679=0,SUM(C680)&gt;0.1),"wrong"))))</f>
        <v>ok</v>
      </c>
    </row>
    <row r="680" spans="1:13">
      <c r="A680" s="113"/>
      <c r="B680" s="115" t="s">
        <v>657</v>
      </c>
      <c r="C680" s="114">
        <f>SUM(PerfformioTeithio!$CC:$CC)</f>
        <v>0</v>
      </c>
      <c r="D680" s="102">
        <f t="shared" si="452"/>
        <v>1</v>
      </c>
      <c r="E680" s="14"/>
      <c r="F680" s="14"/>
      <c r="G680" s="14"/>
      <c r="H680" s="14"/>
      <c r="I680" s="14"/>
      <c r="J680" s="14"/>
      <c r="K680" s="100"/>
      <c r="L680" s="102">
        <f t="shared" si="454"/>
        <v>1</v>
      </c>
      <c r="M680" s="102" t="str">
        <f t="shared" ref="M680" si="493">IF(C679&lt;=C680,"ok","wrong")</f>
        <v>ok</v>
      </c>
    </row>
    <row r="681" spans="1:13">
      <c r="A681" s="113"/>
      <c r="B681" s="115" t="s">
        <v>658</v>
      </c>
      <c r="C681" s="114">
        <f>SUM(PerfformioTeithio!$BX:$BX)</f>
        <v>0</v>
      </c>
      <c r="D681" s="102">
        <f t="shared" si="452"/>
        <v>1</v>
      </c>
      <c r="E681" s="14"/>
      <c r="F681" s="14"/>
      <c r="G681" s="14"/>
      <c r="H681" s="14"/>
      <c r="I681" s="14"/>
      <c r="J681" s="14"/>
      <c r="K681" s="100"/>
      <c r="L681" s="102">
        <f t="shared" si="454"/>
        <v>1</v>
      </c>
      <c r="M681" s="102" t="str">
        <f t="shared" ref="M681" si="494">IF(AND(C681&gt;=0.1,SUM(C682)&gt;=C681),"ok",IF(AND(C681=0,SUM(C682)=0),"ok",IF(AND(C681&gt;0.1,SUM(C682)=0),"wrong",IF(AND(C681=0,SUM(C682)&gt;0.1),"wrong"))))</f>
        <v>ok</v>
      </c>
    </row>
    <row r="682" spans="1:13">
      <c r="A682" s="113"/>
      <c r="B682" s="115" t="s">
        <v>659</v>
      </c>
      <c r="C682" s="114">
        <f>SUM(PerfformioTeithio!$CD:$CD)</f>
        <v>0</v>
      </c>
      <c r="D682" s="102">
        <f t="shared" si="452"/>
        <v>1</v>
      </c>
      <c r="E682" s="14"/>
      <c r="F682" s="14"/>
      <c r="G682" s="14"/>
      <c r="H682" s="14"/>
      <c r="I682" s="14"/>
      <c r="J682" s="14"/>
      <c r="K682" s="100"/>
      <c r="L682" s="102">
        <f t="shared" si="454"/>
        <v>1</v>
      </c>
      <c r="M682" s="102" t="str">
        <f t="shared" ref="M682" si="495">IF(C681&lt;=C682,"ok","wrong")</f>
        <v>ok</v>
      </c>
    </row>
    <row r="683" spans="1:13">
      <c r="A683" s="113"/>
      <c r="B683" s="115" t="s">
        <v>660</v>
      </c>
      <c r="C683" s="114">
        <f>SUM(PerfformioTeithio!$BY:$BY)</f>
        <v>0</v>
      </c>
      <c r="D683" s="102">
        <f t="shared" si="452"/>
        <v>1</v>
      </c>
      <c r="E683" s="14"/>
      <c r="F683" s="14"/>
      <c r="G683" s="14"/>
      <c r="H683" s="14"/>
      <c r="I683" s="14"/>
      <c r="J683" s="14"/>
      <c r="K683" s="100"/>
      <c r="L683" s="102">
        <f t="shared" si="454"/>
        <v>1</v>
      </c>
      <c r="M683" s="102" t="str">
        <f t="shared" ref="M683" si="496">IF(AND(C683&gt;=0.1,SUM(C684)&gt;=C683),"ok",IF(AND(C683=0,SUM(C684)=0),"ok",IF(AND(C683&gt;0.1,SUM(C684)=0),"wrong",IF(AND(C683=0,SUM(C684)&gt;0.1),"wrong"))))</f>
        <v>ok</v>
      </c>
    </row>
    <row r="684" spans="1:13">
      <c r="A684" s="113"/>
      <c r="B684" s="115" t="s">
        <v>661</v>
      </c>
      <c r="C684" s="114">
        <f>SUM(PerfformioTeithio!$CE:$CE)</f>
        <v>0</v>
      </c>
      <c r="D684" s="102">
        <f t="shared" si="452"/>
        <v>1</v>
      </c>
      <c r="E684" s="14"/>
      <c r="F684" s="14"/>
      <c r="G684" s="14"/>
      <c r="H684" s="14"/>
      <c r="I684" s="14"/>
      <c r="J684" s="14"/>
      <c r="K684" s="100"/>
      <c r="L684" s="102">
        <f t="shared" si="454"/>
        <v>1</v>
      </c>
      <c r="M684" s="102" t="str">
        <f t="shared" ref="M684" si="497">IF(C683&lt;=C684,"ok","wrong")</f>
        <v>ok</v>
      </c>
    </row>
    <row r="685" spans="1:13">
      <c r="A685" s="113"/>
      <c r="B685" s="115" t="s">
        <v>662</v>
      </c>
      <c r="C685" s="114">
        <f>SUM(PerfformioTeithio!$BZ:$BZ)</f>
        <v>0</v>
      </c>
      <c r="D685" s="102">
        <f t="shared" si="452"/>
        <v>1</v>
      </c>
      <c r="E685" s="14"/>
      <c r="F685" s="14"/>
      <c r="G685" s="14"/>
      <c r="H685" s="14"/>
      <c r="I685" s="14"/>
      <c r="J685" s="14"/>
      <c r="K685" s="100"/>
      <c r="L685" s="102">
        <f t="shared" si="454"/>
        <v>1</v>
      </c>
      <c r="M685" s="102" t="str">
        <f t="shared" ref="M685" si="498">IF(AND(C685&gt;=0.1,SUM(C686)&gt;=C685),"ok",IF(AND(C685=0,SUM(C686)=0),"ok",IF(AND(C685&gt;0.1,SUM(C686)=0),"wrong",IF(AND(C685=0,SUM(C686)&gt;0.1),"wrong"))))</f>
        <v>ok</v>
      </c>
    </row>
    <row r="686" spans="1:13">
      <c r="A686" s="113"/>
      <c r="B686" s="115" t="s">
        <v>663</v>
      </c>
      <c r="C686" s="114">
        <f>SUM(PerfformioTeithio!$CF:$CF)</f>
        <v>0</v>
      </c>
      <c r="D686" s="102">
        <f t="shared" si="452"/>
        <v>1</v>
      </c>
      <c r="E686" s="14"/>
      <c r="F686" s="14"/>
      <c r="G686" s="14"/>
      <c r="H686" s="14"/>
      <c r="I686" s="14"/>
      <c r="J686" s="14"/>
      <c r="K686" s="100"/>
      <c r="L686" s="102">
        <f t="shared" si="454"/>
        <v>1</v>
      </c>
      <c r="M686" s="102" t="str">
        <f t="shared" ref="M686" si="499">IF(C685&lt;=C686,"ok","wrong")</f>
        <v>ok</v>
      </c>
    </row>
    <row r="687" spans="1:13" ht="29">
      <c r="A687" s="113"/>
      <c r="B687" s="115" t="s">
        <v>664</v>
      </c>
      <c r="C687" s="114">
        <f>SUM(PerfformioTeithio!$CA:$CA)</f>
        <v>0</v>
      </c>
      <c r="D687" s="102">
        <f t="shared" si="452"/>
        <v>1</v>
      </c>
      <c r="E687" s="14"/>
      <c r="F687" s="14"/>
      <c r="G687" s="14"/>
      <c r="H687" s="14"/>
      <c r="I687" s="14"/>
      <c r="J687" s="14"/>
      <c r="K687" s="100"/>
      <c r="L687" s="102">
        <f t="shared" si="454"/>
        <v>1</v>
      </c>
      <c r="M687" s="102" t="str">
        <f t="shared" ref="M687" si="500">IF(AND(C687&gt;=0.1,SUM(C688)&gt;=C687),"ok",IF(AND(C687=0,SUM(C688)=0),"ok",IF(AND(C687&gt;0.1,SUM(C688)=0),"wrong",IF(AND(C687=0,SUM(C688)&gt;0.1),"wrong"))))</f>
        <v>ok</v>
      </c>
    </row>
    <row r="688" spans="1:13" ht="29">
      <c r="A688" s="113"/>
      <c r="B688" s="115" t="s">
        <v>665</v>
      </c>
      <c r="C688" s="114">
        <f>SUM(PerfformioTeithio!$CG:$CG)</f>
        <v>0</v>
      </c>
      <c r="D688" s="102">
        <f t="shared" si="452"/>
        <v>1</v>
      </c>
      <c r="E688" s="14"/>
      <c r="F688" s="14"/>
      <c r="G688" s="14"/>
      <c r="H688" s="14"/>
      <c r="I688" s="14"/>
      <c r="J688" s="14"/>
      <c r="K688" s="100"/>
      <c r="L688" s="102">
        <f t="shared" si="454"/>
        <v>1</v>
      </c>
      <c r="M688" s="102" t="str">
        <f t="shared" ref="M688" si="501">IF(C687&lt;=C688,"ok","wrong")</f>
        <v>ok</v>
      </c>
    </row>
    <row r="689" spans="1:13">
      <c r="A689" s="113" t="s">
        <v>669</v>
      </c>
      <c r="B689" s="115" t="s">
        <v>654</v>
      </c>
      <c r="C689" s="114">
        <f>SUM(PerfformioTeithio!$CI:$CI)</f>
        <v>0</v>
      </c>
      <c r="D689" s="102">
        <f t="shared" si="452"/>
        <v>1</v>
      </c>
      <c r="E689" s="14"/>
      <c r="F689" s="14"/>
      <c r="G689" s="14"/>
      <c r="H689" s="14"/>
      <c r="I689" s="14"/>
      <c r="J689" s="14"/>
      <c r="K689" s="100"/>
      <c r="L689" s="102">
        <f t="shared" si="454"/>
        <v>1</v>
      </c>
      <c r="M689" s="102" t="str">
        <f t="shared" ref="M689" si="502">IF(AND(C689&gt;=0.1,SUM(C690)&gt;=C689),"ok",IF(AND(C689=0,SUM(C690)=0),"ok",IF(AND(C689&gt;0.1,SUM(C690)=0),"wrong",IF(AND(C689=0,SUM(C690)&gt;0.1),"wrong"))))</f>
        <v>ok</v>
      </c>
    </row>
    <row r="690" spans="1:13">
      <c r="A690" s="113"/>
      <c r="B690" s="115" t="s">
        <v>655</v>
      </c>
      <c r="C690" s="114">
        <f>SUM(PerfformioTeithio!$CO:$CO)</f>
        <v>0</v>
      </c>
      <c r="D690" s="102">
        <f t="shared" si="452"/>
        <v>1</v>
      </c>
      <c r="E690" s="14"/>
      <c r="F690" s="14"/>
      <c r="G690" s="14"/>
      <c r="H690" s="14"/>
      <c r="I690" s="14"/>
      <c r="J690" s="14"/>
      <c r="K690" s="100"/>
      <c r="L690" s="102">
        <f t="shared" si="454"/>
        <v>1</v>
      </c>
      <c r="M690" s="102" t="str">
        <f t="shared" ref="M690" si="503">IF(C689&lt;=C690,"ok","wrong")</f>
        <v>ok</v>
      </c>
    </row>
    <row r="691" spans="1:13">
      <c r="A691" s="113"/>
      <c r="B691" s="115" t="s">
        <v>656</v>
      </c>
      <c r="C691" s="114">
        <f>SUM(PerfformioTeithio!$CJ:$CJ)</f>
        <v>0</v>
      </c>
      <c r="D691" s="102">
        <f t="shared" si="452"/>
        <v>1</v>
      </c>
      <c r="E691" s="14"/>
      <c r="F691" s="14"/>
      <c r="G691" s="14"/>
      <c r="H691" s="14"/>
      <c r="I691" s="14"/>
      <c r="J691" s="14"/>
      <c r="K691" s="100"/>
      <c r="L691" s="102">
        <f t="shared" si="454"/>
        <v>1</v>
      </c>
      <c r="M691" s="102" t="str">
        <f t="shared" ref="M691" si="504">IF(AND(C691&gt;=0.1,SUM(C692)&gt;=C691),"ok",IF(AND(C691=0,SUM(C692)=0),"ok",IF(AND(C691&gt;0.1,SUM(C692)=0),"wrong",IF(AND(C691=0,SUM(C692)&gt;0.1),"wrong"))))</f>
        <v>ok</v>
      </c>
    </row>
    <row r="692" spans="1:13">
      <c r="A692" s="113"/>
      <c r="B692" s="115" t="s">
        <v>657</v>
      </c>
      <c r="C692" s="114">
        <f>SUM(PerfformioTeithio!$CP:$CP)</f>
        <v>0</v>
      </c>
      <c r="D692" s="102">
        <f t="shared" si="452"/>
        <v>1</v>
      </c>
      <c r="E692" s="14"/>
      <c r="F692" s="14"/>
      <c r="G692" s="14"/>
      <c r="H692" s="14"/>
      <c r="I692" s="14"/>
      <c r="J692" s="14"/>
      <c r="K692" s="100"/>
      <c r="L692" s="102">
        <f t="shared" si="454"/>
        <v>1</v>
      </c>
      <c r="M692" s="102" t="str">
        <f t="shared" ref="M692" si="505">IF(C691&lt;=C692,"ok","wrong")</f>
        <v>ok</v>
      </c>
    </row>
    <row r="693" spans="1:13">
      <c r="A693" s="113"/>
      <c r="B693" s="115" t="s">
        <v>658</v>
      </c>
      <c r="C693" s="114">
        <f>SUM(PerfformioTeithio!$CK:$CK)</f>
        <v>0</v>
      </c>
      <c r="D693" s="102">
        <f t="shared" si="452"/>
        <v>1</v>
      </c>
      <c r="E693" s="14"/>
      <c r="F693" s="14"/>
      <c r="G693" s="14"/>
      <c r="H693" s="14"/>
      <c r="I693" s="14"/>
      <c r="J693" s="14"/>
      <c r="K693" s="100"/>
      <c r="L693" s="102">
        <f t="shared" si="454"/>
        <v>1</v>
      </c>
      <c r="M693" s="102" t="str">
        <f t="shared" ref="M693" si="506">IF(AND(C693&gt;=0.1,SUM(C694)&gt;=C693),"ok",IF(AND(C693=0,SUM(C694)=0),"ok",IF(AND(C693&gt;0.1,SUM(C694)=0),"wrong",IF(AND(C693=0,SUM(C694)&gt;0.1),"wrong"))))</f>
        <v>ok</v>
      </c>
    </row>
    <row r="694" spans="1:13">
      <c r="A694" s="113"/>
      <c r="B694" s="115" t="s">
        <v>659</v>
      </c>
      <c r="C694" s="114">
        <f>SUM(PerfformioTeithio!$CQ:$CQ)</f>
        <v>0</v>
      </c>
      <c r="D694" s="102">
        <f t="shared" si="452"/>
        <v>1</v>
      </c>
      <c r="E694" s="14"/>
      <c r="F694" s="14"/>
      <c r="G694" s="14"/>
      <c r="H694" s="14"/>
      <c r="I694" s="14"/>
      <c r="J694" s="14"/>
      <c r="K694" s="100"/>
      <c r="L694" s="102">
        <f t="shared" si="454"/>
        <v>1</v>
      </c>
      <c r="M694" s="102" t="str">
        <f t="shared" ref="M694" si="507">IF(C693&lt;=C694,"ok","wrong")</f>
        <v>ok</v>
      </c>
    </row>
    <row r="695" spans="1:13">
      <c r="A695" s="113"/>
      <c r="B695" s="115" t="s">
        <v>660</v>
      </c>
      <c r="C695" s="114">
        <f>SUM(PerfformioTeithio!$CL:$CL)</f>
        <v>0</v>
      </c>
      <c r="D695" s="102">
        <f t="shared" si="452"/>
        <v>1</v>
      </c>
      <c r="E695" s="14"/>
      <c r="F695" s="14"/>
      <c r="G695" s="14"/>
      <c r="H695" s="14"/>
      <c r="I695" s="14"/>
      <c r="J695" s="14"/>
      <c r="K695" s="100"/>
      <c r="L695" s="102">
        <f t="shared" si="454"/>
        <v>1</v>
      </c>
      <c r="M695" s="102" t="str">
        <f t="shared" ref="M695" si="508">IF(AND(C695&gt;=0.1,SUM(C696)&gt;=C695),"ok",IF(AND(C695=0,SUM(C696)=0),"ok",IF(AND(C695&gt;0.1,SUM(C696)=0),"wrong",IF(AND(C695=0,SUM(C696)&gt;0.1),"wrong"))))</f>
        <v>ok</v>
      </c>
    </row>
    <row r="696" spans="1:13">
      <c r="A696" s="113"/>
      <c r="B696" s="115" t="s">
        <v>661</v>
      </c>
      <c r="C696" s="114">
        <f>SUM(PerfformioTeithio!$CR:$CR)</f>
        <v>0</v>
      </c>
      <c r="D696" s="102">
        <f t="shared" si="452"/>
        <v>1</v>
      </c>
      <c r="E696" s="14"/>
      <c r="F696" s="14"/>
      <c r="G696" s="14"/>
      <c r="H696" s="14"/>
      <c r="I696" s="14"/>
      <c r="J696" s="14"/>
      <c r="K696" s="100"/>
      <c r="L696" s="102">
        <f t="shared" si="454"/>
        <v>1</v>
      </c>
      <c r="M696" s="102" t="str">
        <f t="shared" ref="M696" si="509">IF(C695&lt;=C696,"ok","wrong")</f>
        <v>ok</v>
      </c>
    </row>
    <row r="697" spans="1:13">
      <c r="A697" s="113"/>
      <c r="B697" s="115" t="s">
        <v>662</v>
      </c>
      <c r="C697" s="114">
        <f>SUM(PerfformioTeithio!$CM:$CM)</f>
        <v>0</v>
      </c>
      <c r="D697" s="102">
        <f t="shared" si="452"/>
        <v>1</v>
      </c>
      <c r="E697" s="14"/>
      <c r="F697" s="14"/>
      <c r="G697" s="14"/>
      <c r="H697" s="14"/>
      <c r="I697" s="14"/>
      <c r="J697" s="14"/>
      <c r="K697" s="100"/>
      <c r="L697" s="102">
        <f t="shared" si="454"/>
        <v>1</v>
      </c>
      <c r="M697" s="102" t="str">
        <f t="shared" ref="M697" si="510">IF(AND(C697&gt;=0.1,SUM(C698)&gt;=C697),"ok",IF(AND(C697=0,SUM(C698)=0),"ok",IF(AND(C697&gt;0.1,SUM(C698)=0),"wrong",IF(AND(C697=0,SUM(C698)&gt;0.1),"wrong"))))</f>
        <v>ok</v>
      </c>
    </row>
    <row r="698" spans="1:13">
      <c r="A698" s="113"/>
      <c r="B698" s="115" t="s">
        <v>663</v>
      </c>
      <c r="C698" s="114">
        <f>SUM(PerfformioTeithio!$CS:$CS)</f>
        <v>0</v>
      </c>
      <c r="D698" s="102">
        <f t="shared" si="452"/>
        <v>1</v>
      </c>
      <c r="E698" s="14"/>
      <c r="F698" s="14"/>
      <c r="G698" s="14"/>
      <c r="H698" s="14"/>
      <c r="I698" s="14"/>
      <c r="J698" s="14"/>
      <c r="K698" s="100"/>
      <c r="L698" s="102">
        <f t="shared" si="454"/>
        <v>1</v>
      </c>
      <c r="M698" s="102" t="str">
        <f t="shared" ref="M698" si="511">IF(C697&lt;=C698,"ok","wrong")</f>
        <v>ok</v>
      </c>
    </row>
    <row r="699" spans="1:13" ht="29">
      <c r="A699" s="113"/>
      <c r="B699" s="115" t="s">
        <v>664</v>
      </c>
      <c r="C699" s="114">
        <f>SUM(PerfformioTeithio!$CN:$CN)</f>
        <v>0</v>
      </c>
      <c r="D699" s="102">
        <f t="shared" si="452"/>
        <v>1</v>
      </c>
      <c r="E699" s="14"/>
      <c r="F699" s="14"/>
      <c r="G699" s="14"/>
      <c r="H699" s="14"/>
      <c r="I699" s="14"/>
      <c r="J699" s="14"/>
      <c r="K699" s="100"/>
      <c r="L699" s="102">
        <f t="shared" si="454"/>
        <v>1</v>
      </c>
      <c r="M699" s="102" t="str">
        <f t="shared" ref="M699" si="512">IF(AND(C699&gt;=0.1,SUM(C700)&gt;=C699),"ok",IF(AND(C699=0,SUM(C700)=0),"ok",IF(AND(C699&gt;0.1,SUM(C700)=0),"wrong",IF(AND(C699=0,SUM(C700)&gt;0.1),"wrong"))))</f>
        <v>ok</v>
      </c>
    </row>
    <row r="700" spans="1:13" ht="29">
      <c r="A700" s="113"/>
      <c r="B700" s="115" t="s">
        <v>665</v>
      </c>
      <c r="C700" s="114">
        <f>SUM(PerfformioTeithio!$CT:$CT)</f>
        <v>0</v>
      </c>
      <c r="D700" s="102">
        <f t="shared" si="452"/>
        <v>1</v>
      </c>
      <c r="E700" s="14"/>
      <c r="F700" s="14"/>
      <c r="G700" s="14"/>
      <c r="H700" s="14"/>
      <c r="I700" s="14"/>
      <c r="J700" s="14"/>
      <c r="K700" s="100"/>
      <c r="L700" s="102">
        <f t="shared" si="454"/>
        <v>1</v>
      </c>
      <c r="M700" s="102" t="str">
        <f t="shared" ref="M700" si="513">IF(C699&lt;=C700,"ok","wrong")</f>
        <v>ok</v>
      </c>
    </row>
    <row r="701" spans="1:13" ht="29">
      <c r="A701" s="113" t="s">
        <v>670</v>
      </c>
      <c r="B701" s="115" t="s">
        <v>671</v>
      </c>
      <c r="C701" s="114">
        <f>SUM(PerfformioTeithio!$CV:$CV)</f>
        <v>0</v>
      </c>
      <c r="D701" s="102">
        <f t="shared" si="452"/>
        <v>1</v>
      </c>
      <c r="E701" s="14"/>
      <c r="F701" s="14"/>
      <c r="G701" s="14"/>
      <c r="H701" s="14"/>
      <c r="I701" s="14"/>
      <c r="J701" s="14"/>
      <c r="K701" s="100"/>
      <c r="L701" s="102">
        <f t="shared" si="454"/>
        <v>1</v>
      </c>
      <c r="M701" s="102" t="str">
        <f t="shared" ref="M701" si="514">IF(AND(C701&gt;=0.1,SUM(C702)&gt;=C701),"ok",IF(AND(C701=0,SUM(C702)=0),"ok",IF(AND(C701&gt;0.1,SUM(C702)=0),"wrong",IF(AND(C701=0,SUM(C702)&gt;0.1),"wrong"))))</f>
        <v>ok</v>
      </c>
    </row>
    <row r="702" spans="1:13" ht="29">
      <c r="A702" s="113"/>
      <c r="B702" s="115" t="s">
        <v>672</v>
      </c>
      <c r="C702" s="114">
        <f>SUM(PerfformioTeithio!$DB:$DB)</f>
        <v>0</v>
      </c>
      <c r="D702" s="102">
        <f t="shared" si="452"/>
        <v>1</v>
      </c>
      <c r="E702" s="14"/>
      <c r="F702" s="14"/>
      <c r="G702" s="14"/>
      <c r="H702" s="14"/>
      <c r="I702" s="14"/>
      <c r="J702" s="14"/>
      <c r="K702" s="100"/>
      <c r="L702" s="102">
        <f t="shared" si="454"/>
        <v>1</v>
      </c>
      <c r="M702" s="102" t="str">
        <f t="shared" ref="M702" si="515">IF(C701&lt;=C702,"ok","wrong")</f>
        <v>ok</v>
      </c>
    </row>
    <row r="703" spans="1:13" ht="29">
      <c r="A703" s="113"/>
      <c r="B703" s="115" t="s">
        <v>673</v>
      </c>
      <c r="C703" s="114">
        <f>SUM(PerfformioTeithio!$CW:$CW)</f>
        <v>0</v>
      </c>
      <c r="D703" s="102">
        <f t="shared" si="452"/>
        <v>1</v>
      </c>
      <c r="E703" s="14"/>
      <c r="F703" s="14"/>
      <c r="G703" s="14"/>
      <c r="H703" s="14"/>
      <c r="I703" s="14"/>
      <c r="J703" s="14"/>
      <c r="K703" s="100"/>
      <c r="L703" s="102">
        <f t="shared" si="454"/>
        <v>1</v>
      </c>
      <c r="M703" s="102" t="str">
        <f t="shared" ref="M703" si="516">IF(AND(C703&gt;=0.1,SUM(C704)&gt;=C703),"ok",IF(AND(C703=0,SUM(C704)=0),"ok",IF(AND(C703&gt;0.1,SUM(C704)=0),"wrong",IF(AND(C703=0,SUM(C704)&gt;0.1),"wrong"))))</f>
        <v>ok</v>
      </c>
    </row>
    <row r="704" spans="1:13" ht="29">
      <c r="A704" s="113"/>
      <c r="B704" s="115" t="s">
        <v>674</v>
      </c>
      <c r="C704" s="114">
        <f>SUM(PerfformioTeithio!$DC:$DC)</f>
        <v>0</v>
      </c>
      <c r="D704" s="102">
        <f t="shared" si="452"/>
        <v>1</v>
      </c>
      <c r="E704" s="14"/>
      <c r="F704" s="14"/>
      <c r="G704" s="14"/>
      <c r="H704" s="14"/>
      <c r="I704" s="14"/>
      <c r="J704" s="14"/>
      <c r="K704" s="100"/>
      <c r="L704" s="102">
        <f t="shared" si="454"/>
        <v>1</v>
      </c>
      <c r="M704" s="102" t="str">
        <f t="shared" ref="M704" si="517">IF(C703&lt;=C704,"ok","wrong")</f>
        <v>ok</v>
      </c>
    </row>
    <row r="705" spans="1:13" ht="29">
      <c r="A705" s="113"/>
      <c r="B705" s="115" t="s">
        <v>675</v>
      </c>
      <c r="C705" s="114">
        <f>SUM(PerfformioTeithio!$CX:$CX)</f>
        <v>0</v>
      </c>
      <c r="D705" s="102">
        <f t="shared" ref="D705:D712" si="518">L705</f>
        <v>1</v>
      </c>
      <c r="E705" s="14"/>
      <c r="F705" s="14"/>
      <c r="G705" s="14"/>
      <c r="H705" s="14"/>
      <c r="I705" s="14"/>
      <c r="J705" s="14"/>
      <c r="K705" s="100"/>
      <c r="L705" s="102">
        <f t="shared" si="454"/>
        <v>1</v>
      </c>
      <c r="M705" s="102" t="str">
        <f t="shared" ref="M705" si="519">IF(AND(C705&gt;=0.1,SUM(C706)&gt;=C705),"ok",IF(AND(C705=0,SUM(C706)=0),"ok",IF(AND(C705&gt;0.1,SUM(C706)=0),"wrong",IF(AND(C705=0,SUM(C706)&gt;0.1),"wrong"))))</f>
        <v>ok</v>
      </c>
    </row>
    <row r="706" spans="1:13" ht="29">
      <c r="A706" s="113"/>
      <c r="B706" s="115" t="s">
        <v>676</v>
      </c>
      <c r="C706" s="114">
        <f>SUM(PerfformioTeithio!$DD:$DD)</f>
        <v>0</v>
      </c>
      <c r="D706" s="102">
        <f t="shared" si="518"/>
        <v>1</v>
      </c>
      <c r="E706" s="14"/>
      <c r="F706" s="14"/>
      <c r="G706" s="14"/>
      <c r="H706" s="14"/>
      <c r="I706" s="14"/>
      <c r="J706" s="14"/>
      <c r="K706" s="100"/>
      <c r="L706" s="102">
        <f t="shared" ref="L706:L712" si="520">IF(M706="ok",1,0)</f>
        <v>1</v>
      </c>
      <c r="M706" s="102" t="str">
        <f t="shared" ref="M706" si="521">IF(C705&lt;=C706,"ok","wrong")</f>
        <v>ok</v>
      </c>
    </row>
    <row r="707" spans="1:13" ht="29">
      <c r="A707" s="113"/>
      <c r="B707" s="115" t="s">
        <v>677</v>
      </c>
      <c r="C707" s="114">
        <f>SUM(PerfformioTeithio!$CY:$CY)</f>
        <v>0</v>
      </c>
      <c r="D707" s="102">
        <f t="shared" si="518"/>
        <v>1</v>
      </c>
      <c r="E707" s="14"/>
      <c r="F707" s="14"/>
      <c r="G707" s="14"/>
      <c r="H707" s="14"/>
      <c r="I707" s="14"/>
      <c r="J707" s="14"/>
      <c r="K707" s="100"/>
      <c r="L707" s="102">
        <f t="shared" si="520"/>
        <v>1</v>
      </c>
      <c r="M707" s="102" t="str">
        <f t="shared" ref="M707" si="522">IF(AND(C707&gt;=0.1,SUM(C708)&gt;=C707),"ok",IF(AND(C707=0,SUM(C708)=0),"ok",IF(AND(C707&gt;0.1,SUM(C708)=0),"wrong",IF(AND(C707=0,SUM(C708)&gt;0.1),"wrong"))))</f>
        <v>ok</v>
      </c>
    </row>
    <row r="708" spans="1:13" ht="29">
      <c r="A708" s="113"/>
      <c r="B708" s="115" t="s">
        <v>678</v>
      </c>
      <c r="C708" s="114">
        <f>SUM(PerfformioTeithio!$DE:$DE)</f>
        <v>0</v>
      </c>
      <c r="D708" s="102">
        <f t="shared" si="518"/>
        <v>1</v>
      </c>
      <c r="E708" s="14"/>
      <c r="F708" s="14"/>
      <c r="G708" s="14"/>
      <c r="H708" s="14"/>
      <c r="I708" s="14"/>
      <c r="J708" s="14"/>
      <c r="K708" s="100"/>
      <c r="L708" s="102">
        <f t="shared" si="520"/>
        <v>1</v>
      </c>
      <c r="M708" s="102" t="str">
        <f t="shared" ref="M708" si="523">IF(C707&lt;=C708,"ok","wrong")</f>
        <v>ok</v>
      </c>
    </row>
    <row r="709" spans="1:13" ht="29">
      <c r="A709" s="113"/>
      <c r="B709" s="115" t="s">
        <v>679</v>
      </c>
      <c r="C709" s="114">
        <f>SUM(PerfformioTeithio!$CZ:$CZ)</f>
        <v>0</v>
      </c>
      <c r="D709" s="102">
        <f t="shared" si="518"/>
        <v>1</v>
      </c>
      <c r="E709" s="14"/>
      <c r="F709" s="14"/>
      <c r="G709" s="14"/>
      <c r="H709" s="14"/>
      <c r="I709" s="14"/>
      <c r="J709" s="14"/>
      <c r="K709" s="100"/>
      <c r="L709" s="102">
        <f t="shared" si="520"/>
        <v>1</v>
      </c>
      <c r="M709" s="102" t="str">
        <f t="shared" ref="M709" si="524">IF(AND(C709&gt;=0.1,SUM(C710)&gt;=C709),"ok",IF(AND(C709=0,SUM(C710)=0),"ok",IF(AND(C709&gt;0.1,SUM(C710)=0),"wrong",IF(AND(C709=0,SUM(C710)&gt;0.1),"wrong"))))</f>
        <v>ok</v>
      </c>
    </row>
    <row r="710" spans="1:13" ht="29">
      <c r="A710" s="113"/>
      <c r="B710" s="115" t="s">
        <v>680</v>
      </c>
      <c r="C710" s="114">
        <f>SUM(PerfformioTeithio!$DF:$DF)</f>
        <v>0</v>
      </c>
      <c r="D710" s="102">
        <f t="shared" si="518"/>
        <v>1</v>
      </c>
      <c r="E710" s="14"/>
      <c r="F710" s="14"/>
      <c r="G710" s="14"/>
      <c r="H710" s="14"/>
      <c r="I710" s="14"/>
      <c r="J710" s="14"/>
      <c r="K710" s="100"/>
      <c r="L710" s="102">
        <f t="shared" si="520"/>
        <v>1</v>
      </c>
      <c r="M710" s="102" t="str">
        <f t="shared" ref="M710" si="525">IF(C709&lt;=C710,"ok","wrong")</f>
        <v>ok</v>
      </c>
    </row>
    <row r="711" spans="1:13" ht="29">
      <c r="A711" s="113"/>
      <c r="B711" s="115" t="s">
        <v>681</v>
      </c>
      <c r="C711" s="114">
        <f>SUM(PerfformioTeithio!$DA:$DA)</f>
        <v>0</v>
      </c>
      <c r="D711" s="102">
        <f t="shared" si="518"/>
        <v>1</v>
      </c>
      <c r="E711" s="14"/>
      <c r="F711" s="14"/>
      <c r="G711" s="14"/>
      <c r="H711" s="14"/>
      <c r="I711" s="14"/>
      <c r="J711" s="14"/>
      <c r="K711" s="100"/>
      <c r="L711" s="102">
        <f t="shared" si="520"/>
        <v>1</v>
      </c>
      <c r="M711" s="102" t="str">
        <f t="shared" ref="M711" si="526">IF(AND(C711&gt;=0.1,SUM(C712)&gt;=C711),"ok",IF(AND(C711=0,SUM(C712)=0),"ok",IF(AND(C711&gt;0.1,SUM(C712)=0),"wrong",IF(AND(C711=0,SUM(C712)&gt;0.1),"wrong"))))</f>
        <v>ok</v>
      </c>
    </row>
    <row r="712" spans="1:13" ht="29">
      <c r="A712" s="113"/>
      <c r="B712" s="115" t="s">
        <v>682</v>
      </c>
      <c r="C712" s="114">
        <f>SUM(PerfformioTeithio!$DG:$DG)</f>
        <v>0</v>
      </c>
      <c r="D712" s="102">
        <f t="shared" si="518"/>
        <v>1</v>
      </c>
      <c r="E712" s="14"/>
      <c r="F712" s="14"/>
      <c r="G712" s="14"/>
      <c r="H712" s="14"/>
      <c r="I712" s="14"/>
      <c r="J712" s="14"/>
      <c r="K712" s="100"/>
      <c r="L712" s="102">
        <f t="shared" si="520"/>
        <v>1</v>
      </c>
      <c r="M712" s="102" t="str">
        <f t="shared" ref="M712" si="527">IF(C711&lt;=C712,"ok","wrong")</f>
        <v>ok</v>
      </c>
    </row>
    <row r="713" spans="1:13">
      <c r="A713" s="113" t="s">
        <v>683</v>
      </c>
      <c r="B713" s="115" t="s">
        <v>684</v>
      </c>
      <c r="C713" s="114">
        <f>COUNTIF(PerfformioTeithio!$DH:$DH,"Do")</f>
        <v>0</v>
      </c>
      <c r="D713" s="14"/>
      <c r="E713" s="14"/>
      <c r="F713" s="14"/>
      <c r="G713" s="14"/>
      <c r="H713" s="14"/>
      <c r="I713" s="14"/>
      <c r="J713" s="14"/>
      <c r="K713" s="100"/>
      <c r="L713" s="102"/>
      <c r="M713" s="102"/>
    </row>
    <row r="714" spans="1:13">
      <c r="A714" s="113"/>
      <c r="B714" s="115" t="s">
        <v>685</v>
      </c>
      <c r="C714" s="114">
        <f>COUNTIF(PerfformioTeithio!$DI:$DI,"Do")</f>
        <v>0</v>
      </c>
      <c r="D714" s="14"/>
      <c r="E714" s="14"/>
      <c r="F714" s="14"/>
      <c r="G714" s="14"/>
      <c r="H714" s="14"/>
      <c r="I714" s="14"/>
      <c r="J714" s="14"/>
      <c r="K714" s="100"/>
      <c r="L714" s="102"/>
      <c r="M714" s="102"/>
    </row>
    <row r="715" spans="1:13">
      <c r="A715" s="113"/>
      <c r="B715" s="115" t="s">
        <v>686</v>
      </c>
      <c r="C715" s="114">
        <f>COUNTIF(PerfformioTeithio!$DJ:$DJ,"Do")</f>
        <v>0</v>
      </c>
      <c r="D715" s="14"/>
      <c r="E715" s="14"/>
      <c r="F715" s="14"/>
      <c r="G715" s="14"/>
      <c r="H715" s="14"/>
      <c r="I715" s="14"/>
      <c r="J715" s="14"/>
      <c r="K715" s="100"/>
      <c r="L715" s="102"/>
      <c r="M715" s="102"/>
    </row>
    <row r="716" spans="1:13">
      <c r="A716" s="113"/>
      <c r="B716" s="115" t="s">
        <v>170</v>
      </c>
      <c r="C716" s="114">
        <f>COUNTIF(PerfformioTeithio!$DK:$DK,"Do")</f>
        <v>0</v>
      </c>
      <c r="D716" s="14"/>
      <c r="E716" s="14"/>
      <c r="F716" s="14"/>
      <c r="G716" s="14"/>
      <c r="H716" s="14"/>
      <c r="I716" s="14"/>
      <c r="J716" s="14"/>
      <c r="K716" s="100"/>
      <c r="L716" s="102"/>
      <c r="M716" s="102"/>
    </row>
    <row r="717" spans="1:13">
      <c r="A717" s="113" t="s">
        <v>571</v>
      </c>
      <c r="B717" s="115" t="s">
        <v>687</v>
      </c>
      <c r="C717" s="114">
        <f>COUNTIF(PerfformioTeithio!$DM:$DM,"Oedd")</f>
        <v>0</v>
      </c>
      <c r="D717" s="14"/>
      <c r="E717" s="14"/>
      <c r="F717" s="14"/>
      <c r="G717" s="14"/>
      <c r="H717" s="14"/>
      <c r="I717" s="14"/>
      <c r="J717" s="14"/>
      <c r="K717" s="100"/>
      <c r="L717" s="102"/>
      <c r="M717" s="102"/>
    </row>
    <row r="718" spans="1:13">
      <c r="A718" s="113" t="s">
        <v>688</v>
      </c>
      <c r="B718" s="115" t="s">
        <v>491</v>
      </c>
      <c r="C718" s="114">
        <f>COUNTIF(PerfformioTeithio!$DO:$DO,"Ie")</f>
        <v>0</v>
      </c>
      <c r="D718" s="14"/>
      <c r="E718" s="14"/>
      <c r="F718" s="14"/>
      <c r="G718" s="14"/>
      <c r="H718" s="14"/>
      <c r="I718" s="14"/>
      <c r="J718" s="14"/>
      <c r="K718" s="100"/>
      <c r="L718" s="102"/>
      <c r="M718" s="102"/>
    </row>
    <row r="719" spans="1:13">
      <c r="A719" s="113"/>
      <c r="B719" s="115" t="s">
        <v>585</v>
      </c>
      <c r="C719" s="114">
        <f>COUNTIF(PerfformioTeithio!$DP:$DP,"Ie")</f>
        <v>0</v>
      </c>
      <c r="D719" s="14"/>
      <c r="E719" s="14"/>
      <c r="F719" s="14"/>
      <c r="G719" s="14"/>
      <c r="H719" s="14"/>
      <c r="I719" s="14"/>
      <c r="J719" s="14"/>
      <c r="K719" s="100"/>
      <c r="L719" s="102"/>
      <c r="M719" s="102"/>
    </row>
    <row r="720" spans="1:13">
      <c r="A720" s="113"/>
      <c r="B720" s="115" t="s">
        <v>90</v>
      </c>
      <c r="C720" s="114">
        <f>COUNTIF(PerfformioTeithio!$DQ:$DQ,"Ie")</f>
        <v>0</v>
      </c>
      <c r="D720" s="14"/>
      <c r="E720" s="14"/>
      <c r="F720" s="14"/>
      <c r="G720" s="14"/>
      <c r="H720" s="14"/>
      <c r="I720" s="14"/>
      <c r="J720" s="14"/>
      <c r="K720" s="100"/>
      <c r="L720" s="102"/>
      <c r="M720" s="102"/>
    </row>
    <row r="721" spans="1:13">
      <c r="A721" s="113"/>
      <c r="B721" s="115" t="s">
        <v>586</v>
      </c>
      <c r="C721" s="114">
        <f>COUNTIF(PerfformioTeithio!$DR:$DR,"Ie")</f>
        <v>0</v>
      </c>
      <c r="D721" s="14"/>
      <c r="E721" s="14"/>
      <c r="F721" s="14"/>
      <c r="G721" s="14"/>
      <c r="H721" s="14"/>
      <c r="I721" s="14"/>
      <c r="J721" s="14"/>
      <c r="K721" s="100"/>
      <c r="L721" s="102"/>
      <c r="M721" s="102"/>
    </row>
    <row r="722" spans="1:13">
      <c r="A722" s="113"/>
      <c r="B722" s="115" t="s">
        <v>587</v>
      </c>
      <c r="C722" s="114">
        <f>COUNTIF(PerfformioTeithio!$DS:$DS,"Ie")</f>
        <v>0</v>
      </c>
      <c r="D722" s="14"/>
      <c r="E722" s="14"/>
      <c r="F722" s="14"/>
      <c r="G722" s="14"/>
      <c r="H722" s="14"/>
      <c r="I722" s="14"/>
      <c r="J722" s="14"/>
      <c r="K722" s="100"/>
      <c r="L722" s="102"/>
      <c r="M722" s="102"/>
    </row>
    <row r="723" spans="1:13">
      <c r="A723" s="113"/>
      <c r="B723" s="115" t="s">
        <v>588</v>
      </c>
      <c r="C723" s="114">
        <f>COUNTIF(PerfformioTeithio!$DT:$DT,"Ie")</f>
        <v>0</v>
      </c>
      <c r="D723" s="14"/>
      <c r="E723" s="14"/>
      <c r="F723" s="14"/>
      <c r="G723" s="14"/>
      <c r="H723" s="14"/>
      <c r="I723" s="14"/>
      <c r="J723" s="14"/>
      <c r="K723" s="100"/>
      <c r="L723" s="102"/>
      <c r="M723" s="102"/>
    </row>
    <row r="724" spans="1:13">
      <c r="A724" s="113"/>
      <c r="B724" s="115" t="s">
        <v>589</v>
      </c>
      <c r="C724" s="114">
        <f>COUNTIF(PerfformioTeithio!$DU:$DU,"Ie")</f>
        <v>0</v>
      </c>
      <c r="D724" s="14"/>
      <c r="E724" s="14"/>
      <c r="F724" s="14"/>
      <c r="G724" s="14"/>
      <c r="H724" s="14"/>
      <c r="I724" s="14"/>
      <c r="J724" s="14"/>
      <c r="K724" s="100"/>
      <c r="L724" s="102"/>
      <c r="M724" s="102"/>
    </row>
    <row r="725" spans="1:13">
      <c r="A725" s="113"/>
      <c r="B725" s="115" t="s">
        <v>590</v>
      </c>
      <c r="C725" s="114">
        <f>COUNTIF(PerfformioTeithio!$DV:$DV,"Ie")</f>
        <v>0</v>
      </c>
      <c r="D725" s="14"/>
      <c r="E725" s="14"/>
      <c r="F725" s="14"/>
      <c r="G725" s="14"/>
      <c r="H725" s="14"/>
      <c r="I725" s="14"/>
      <c r="J725" s="14"/>
      <c r="K725" s="100"/>
      <c r="L725" s="102"/>
      <c r="M725" s="102"/>
    </row>
    <row r="726" spans="1:13">
      <c r="A726" s="113"/>
      <c r="B726" s="115" t="s">
        <v>96</v>
      </c>
      <c r="C726" s="114">
        <f>COUNTIF(PerfformioTeithio!$DW:$DW,"Ie")</f>
        <v>0</v>
      </c>
      <c r="D726" s="14"/>
      <c r="E726" s="14"/>
      <c r="F726" s="14"/>
      <c r="G726" s="14"/>
      <c r="H726" s="14"/>
      <c r="I726" s="14"/>
      <c r="J726" s="14"/>
      <c r="K726" s="100"/>
      <c r="L726" s="102"/>
      <c r="M726" s="102"/>
    </row>
    <row r="727" spans="1:13" ht="29">
      <c r="A727" s="115" t="s">
        <v>689</v>
      </c>
      <c r="B727" s="113" t="s">
        <v>83</v>
      </c>
      <c r="C727" s="114">
        <f>SUM(PerfformioTeithio!$DX:$DX)</f>
        <v>0</v>
      </c>
      <c r="D727" s="14"/>
      <c r="E727" s="14"/>
      <c r="F727" s="14"/>
      <c r="G727" s="14"/>
      <c r="H727" s="14"/>
      <c r="I727" s="14"/>
      <c r="J727" s="14"/>
      <c r="K727" s="100"/>
      <c r="L727" s="102"/>
      <c r="M727" s="102"/>
    </row>
    <row r="728" spans="1:13">
      <c r="A728" s="113"/>
      <c r="B728" s="113" t="s">
        <v>84</v>
      </c>
      <c r="C728" s="114">
        <f>SUM(PerfformioTeithio!$DY:$DY)</f>
        <v>0</v>
      </c>
      <c r="D728" s="14"/>
      <c r="E728" s="14"/>
      <c r="F728" s="14"/>
      <c r="G728" s="14"/>
      <c r="H728" s="14"/>
      <c r="I728" s="14"/>
      <c r="J728" s="14"/>
      <c r="K728" s="100"/>
      <c r="L728" s="102"/>
      <c r="M728" s="102"/>
    </row>
    <row r="729" spans="1:13">
      <c r="A729" s="113"/>
      <c r="B729" s="113" t="s">
        <v>170</v>
      </c>
      <c r="C729" s="114">
        <f>SUM(PerfformioTeithio!$DZ:$DZ)</f>
        <v>0</v>
      </c>
      <c r="D729" s="14"/>
      <c r="E729" s="14"/>
      <c r="F729" s="14"/>
      <c r="G729" s="14"/>
      <c r="H729" s="14"/>
      <c r="I729" s="14"/>
      <c r="J729" s="14"/>
      <c r="K729" s="100"/>
      <c r="L729" s="102"/>
      <c r="M729" s="102"/>
    </row>
    <row r="730" spans="1:13">
      <c r="A730" s="113"/>
      <c r="B730" s="113" t="s">
        <v>85</v>
      </c>
      <c r="C730" s="114">
        <f>SUM(PerfformioTeithio!$EA:$EA)</f>
        <v>0</v>
      </c>
      <c r="D730" s="14"/>
      <c r="E730" s="14"/>
      <c r="F730" s="14"/>
      <c r="G730" s="14"/>
      <c r="H730" s="14"/>
      <c r="I730" s="14"/>
      <c r="J730" s="14"/>
      <c r="K730" s="100"/>
      <c r="L730" s="102"/>
      <c r="M730" s="102"/>
    </row>
    <row r="731" spans="1:13">
      <c r="A731" s="113"/>
      <c r="B731" s="113" t="s">
        <v>86</v>
      </c>
      <c r="C731" s="114">
        <f>SUM(PerfformioTeithio!$EB:$EB)</f>
        <v>0</v>
      </c>
      <c r="D731" s="14"/>
      <c r="E731" s="14"/>
      <c r="F731" s="14"/>
      <c r="G731" s="14"/>
      <c r="H731" s="14"/>
      <c r="I731" s="14"/>
      <c r="J731" s="14"/>
      <c r="K731" s="100"/>
      <c r="L731" s="102"/>
      <c r="M731" s="102"/>
    </row>
    <row r="732" spans="1:13" ht="16">
      <c r="A732" s="90"/>
      <c r="B732" s="90"/>
      <c r="C732" s="90"/>
      <c r="D732" s="14"/>
      <c r="E732" s="14"/>
      <c r="F732" s="14"/>
      <c r="G732" s="14"/>
      <c r="H732" s="14"/>
      <c r="I732" s="14"/>
      <c r="J732" s="14"/>
      <c r="K732" s="100"/>
      <c r="L732" s="102"/>
      <c r="M732" s="102"/>
    </row>
    <row r="733" spans="1:13">
      <c r="A733" s="116" t="s">
        <v>501</v>
      </c>
      <c r="B733" s="116"/>
      <c r="C733" s="116"/>
      <c r="D733" s="14"/>
      <c r="E733" s="14"/>
      <c r="F733" s="14"/>
      <c r="G733" s="14"/>
      <c r="H733" s="14"/>
      <c r="I733" s="14"/>
      <c r="J733" s="14"/>
      <c r="K733" s="100"/>
      <c r="L733" s="102"/>
      <c r="M733" s="102"/>
    </row>
    <row r="734" spans="1:13">
      <c r="A734" s="116"/>
      <c r="B734" s="116"/>
      <c r="C734" s="116"/>
      <c r="D734" s="14"/>
      <c r="E734" s="14"/>
      <c r="F734" s="14"/>
      <c r="G734" s="14"/>
      <c r="H734" s="14"/>
      <c r="I734" s="14"/>
      <c r="J734" s="14"/>
      <c r="K734" s="100"/>
      <c r="L734" s="102"/>
      <c r="M734" s="102"/>
    </row>
    <row r="735" spans="1:13">
      <c r="A735" s="116" t="s">
        <v>690</v>
      </c>
      <c r="B735" s="116" t="s">
        <v>691</v>
      </c>
      <c r="C735" s="117">
        <f>COUNTIF(Ffilm!$B:$B,"&lt;&gt;")-1</f>
        <v>0</v>
      </c>
      <c r="D735" s="14"/>
      <c r="E735" s="14"/>
      <c r="F735" s="14"/>
      <c r="G735" s="14"/>
      <c r="H735" s="14"/>
      <c r="I735" s="14"/>
      <c r="J735" s="14"/>
      <c r="K735" s="100"/>
      <c r="L735" s="102"/>
      <c r="M735" s="102"/>
    </row>
    <row r="736" spans="1:13">
      <c r="A736" s="116" t="s">
        <v>628</v>
      </c>
      <c r="B736" s="116" t="s">
        <v>390</v>
      </c>
      <c r="C736" s="117">
        <f>COUNTIF(Ffilm!$C:$C,"Ffilm Nodwedd")</f>
        <v>0</v>
      </c>
      <c r="D736" s="14"/>
      <c r="E736" s="14"/>
      <c r="F736" s="14"/>
      <c r="G736" s="14"/>
      <c r="H736" s="14"/>
      <c r="I736" s="14"/>
      <c r="J736" s="14"/>
      <c r="K736" s="100"/>
      <c r="L736" s="102"/>
      <c r="M736" s="102"/>
    </row>
    <row r="737" spans="1:13">
      <c r="A737" s="116"/>
      <c r="B737" s="116" t="s">
        <v>391</v>
      </c>
      <c r="C737" s="117">
        <f>COUNTIF(Ffilm!$C:$C,"Ffilm Fer")</f>
        <v>0</v>
      </c>
      <c r="D737" s="14"/>
      <c r="E737" s="14"/>
      <c r="F737" s="14"/>
      <c r="G737" s="14"/>
      <c r="H737" s="14"/>
      <c r="I737" s="14"/>
      <c r="J737" s="14"/>
      <c r="K737" s="100"/>
      <c r="L737" s="102"/>
      <c r="M737" s="102"/>
    </row>
    <row r="738" spans="1:13">
      <c r="A738" s="116" t="s">
        <v>692</v>
      </c>
      <c r="B738" s="116" t="s">
        <v>693</v>
      </c>
      <c r="C738" s="117">
        <f>SUM(Ffilm!$G:$G)</f>
        <v>0</v>
      </c>
      <c r="D738" s="102">
        <f t="shared" ref="D738:D749" si="528">L738</f>
        <v>1</v>
      </c>
      <c r="E738" s="14"/>
      <c r="F738" s="14"/>
      <c r="G738" s="14"/>
      <c r="H738" s="14"/>
      <c r="I738" s="14"/>
      <c r="J738" s="14"/>
      <c r="K738" s="100"/>
      <c r="L738" s="102">
        <f t="shared" ref="L738:L749" si="529">IF(M738="ok",1,0)</f>
        <v>1</v>
      </c>
      <c r="M738" s="102" t="str">
        <f t="shared" ref="M738" si="530">IF(AND(C738&gt;=0.1,SUM(C739)&gt;=C738),"ok",IF(AND(C738=0,SUM(C739)=0),"ok",IF(AND(C738&gt;0.1,SUM(C739)=0),"wrong",IF(AND(C738=0,SUM(C739)&gt;0.1),"wrong"))))</f>
        <v>ok</v>
      </c>
    </row>
    <row r="739" spans="1:13">
      <c r="A739" s="116"/>
      <c r="B739" s="116" t="s">
        <v>694</v>
      </c>
      <c r="C739" s="117">
        <f>SUM(Ffilm!$M:$M)</f>
        <v>0</v>
      </c>
      <c r="D739" s="102">
        <f t="shared" si="528"/>
        <v>1</v>
      </c>
      <c r="E739" s="14"/>
      <c r="F739" s="14"/>
      <c r="G739" s="14"/>
      <c r="H739" s="14"/>
      <c r="I739" s="14"/>
      <c r="J739" s="14"/>
      <c r="K739" s="100"/>
      <c r="L739" s="102">
        <f t="shared" si="529"/>
        <v>1</v>
      </c>
      <c r="M739" s="102" t="str">
        <f t="shared" ref="M739" si="531">IF(C738&lt;=C739,"ok","wrong")</f>
        <v>ok</v>
      </c>
    </row>
    <row r="740" spans="1:13">
      <c r="A740" s="116"/>
      <c r="B740" s="116" t="s">
        <v>695</v>
      </c>
      <c r="C740" s="117">
        <f>SUM(Ffilm!$H:$H)</f>
        <v>0</v>
      </c>
      <c r="D740" s="102">
        <f t="shared" si="528"/>
        <v>1</v>
      </c>
      <c r="E740" s="14"/>
      <c r="F740" s="14"/>
      <c r="G740" s="14"/>
      <c r="H740" s="14"/>
      <c r="I740" s="14"/>
      <c r="J740" s="14"/>
      <c r="K740" s="100"/>
      <c r="L740" s="102">
        <f t="shared" si="529"/>
        <v>1</v>
      </c>
      <c r="M740" s="102" t="str">
        <f t="shared" ref="M740" si="532">IF(AND(C740&gt;=0.1,SUM(C741)&gt;=C740),"ok",IF(AND(C740=0,SUM(C741)=0),"ok",IF(AND(C740&gt;0.1,SUM(C741)=0),"wrong",IF(AND(C740=0,SUM(C741)&gt;0.1),"wrong"))))</f>
        <v>ok</v>
      </c>
    </row>
    <row r="741" spans="1:13">
      <c r="A741" s="116"/>
      <c r="B741" s="116" t="s">
        <v>696</v>
      </c>
      <c r="C741" s="117">
        <f>SUM(Ffilm!$N:$N)</f>
        <v>0</v>
      </c>
      <c r="D741" s="102">
        <f t="shared" si="528"/>
        <v>1</v>
      </c>
      <c r="E741" s="14"/>
      <c r="F741" s="14"/>
      <c r="G741" s="14"/>
      <c r="H741" s="14"/>
      <c r="I741" s="14"/>
      <c r="J741" s="14"/>
      <c r="K741" s="100"/>
      <c r="L741" s="102">
        <f t="shared" si="529"/>
        <v>1</v>
      </c>
      <c r="M741" s="102" t="str">
        <f t="shared" ref="M741" si="533">IF(C740&lt;=C741,"ok","wrong")</f>
        <v>ok</v>
      </c>
    </row>
    <row r="742" spans="1:13">
      <c r="A742" s="116"/>
      <c r="B742" s="116" t="s">
        <v>697</v>
      </c>
      <c r="C742" s="117">
        <f>SUM(Ffilm!$I:$I)</f>
        <v>0</v>
      </c>
      <c r="D742" s="102">
        <f t="shared" si="528"/>
        <v>1</v>
      </c>
      <c r="E742" s="14"/>
      <c r="F742" s="14"/>
      <c r="G742" s="14"/>
      <c r="H742" s="14"/>
      <c r="I742" s="14"/>
      <c r="J742" s="14"/>
      <c r="K742" s="100"/>
      <c r="L742" s="102">
        <f t="shared" si="529"/>
        <v>1</v>
      </c>
      <c r="M742" s="102" t="str">
        <f t="shared" ref="M742" si="534">IF(AND(C742&gt;=0.1,SUM(C743)&gt;=C742),"ok",IF(AND(C742=0,SUM(C743)=0),"ok",IF(AND(C742&gt;0.1,SUM(C743)=0),"wrong",IF(AND(C742=0,SUM(C743)&gt;0.1),"wrong"))))</f>
        <v>ok</v>
      </c>
    </row>
    <row r="743" spans="1:13">
      <c r="A743" s="116"/>
      <c r="B743" s="116" t="s">
        <v>698</v>
      </c>
      <c r="C743" s="117">
        <f>SUM(Ffilm!$O:$O)</f>
        <v>0</v>
      </c>
      <c r="D743" s="102">
        <f t="shared" si="528"/>
        <v>1</v>
      </c>
      <c r="E743" s="14"/>
      <c r="F743" s="14"/>
      <c r="G743" s="14"/>
      <c r="H743" s="14"/>
      <c r="I743" s="14"/>
      <c r="J743" s="14"/>
      <c r="K743" s="100"/>
      <c r="L743" s="102">
        <f t="shared" si="529"/>
        <v>1</v>
      </c>
      <c r="M743" s="102" t="str">
        <f t="shared" ref="M743" si="535">IF(C742&lt;=C743,"ok","wrong")</f>
        <v>ok</v>
      </c>
    </row>
    <row r="744" spans="1:13">
      <c r="A744" s="116"/>
      <c r="B744" s="116" t="s">
        <v>699</v>
      </c>
      <c r="C744" s="117">
        <f>SUM(Ffilm!$J:$J)</f>
        <v>0</v>
      </c>
      <c r="D744" s="102">
        <f t="shared" si="528"/>
        <v>1</v>
      </c>
      <c r="E744" s="14"/>
      <c r="F744" s="14"/>
      <c r="G744" s="14"/>
      <c r="H744" s="14"/>
      <c r="I744" s="14"/>
      <c r="J744" s="14"/>
      <c r="K744" s="100"/>
      <c r="L744" s="102">
        <f t="shared" si="529"/>
        <v>1</v>
      </c>
      <c r="M744" s="102" t="str">
        <f t="shared" ref="M744" si="536">IF(AND(C744&gt;=0.1,SUM(C745)&gt;=C744),"ok",IF(AND(C744=0,SUM(C745)=0),"ok",IF(AND(C744&gt;0.1,SUM(C745)=0),"wrong",IF(AND(C744=0,SUM(C745)&gt;0.1),"wrong"))))</f>
        <v>ok</v>
      </c>
    </row>
    <row r="745" spans="1:13">
      <c r="A745" s="116"/>
      <c r="B745" s="116" t="s">
        <v>700</v>
      </c>
      <c r="C745" s="117">
        <f>SUM(Ffilm!$P:$P)</f>
        <v>0</v>
      </c>
      <c r="D745" s="102">
        <f t="shared" si="528"/>
        <v>1</v>
      </c>
      <c r="E745" s="14"/>
      <c r="F745" s="14"/>
      <c r="G745" s="14"/>
      <c r="H745" s="14"/>
      <c r="I745" s="14"/>
      <c r="J745" s="14"/>
      <c r="K745" s="100"/>
      <c r="L745" s="102">
        <f t="shared" si="529"/>
        <v>1</v>
      </c>
      <c r="M745" s="102" t="str">
        <f t="shared" ref="M745" si="537">IF(C744&lt;=C745,"ok","wrong")</f>
        <v>ok</v>
      </c>
    </row>
    <row r="746" spans="1:13">
      <c r="A746" s="116"/>
      <c r="B746" s="116" t="s">
        <v>701</v>
      </c>
      <c r="C746" s="117">
        <f>SUM(Ffilm!$K:$K)</f>
        <v>0</v>
      </c>
      <c r="D746" s="102">
        <f t="shared" si="528"/>
        <v>1</v>
      </c>
      <c r="E746" s="14"/>
      <c r="F746" s="14"/>
      <c r="G746" s="14"/>
      <c r="H746" s="14"/>
      <c r="I746" s="14"/>
      <c r="J746" s="14"/>
      <c r="K746" s="100"/>
      <c r="L746" s="102">
        <f t="shared" si="529"/>
        <v>1</v>
      </c>
      <c r="M746" s="102" t="str">
        <f t="shared" ref="M746" si="538">IF(AND(C746&gt;=0.1,SUM(C747)&gt;=C746),"ok",IF(AND(C746=0,SUM(C747)=0),"ok",IF(AND(C746&gt;0.1,SUM(C747)=0),"wrong",IF(AND(C746=0,SUM(C747)&gt;0.1),"wrong"))))</f>
        <v>ok</v>
      </c>
    </row>
    <row r="747" spans="1:13">
      <c r="A747" s="116"/>
      <c r="B747" s="116" t="s">
        <v>702</v>
      </c>
      <c r="C747" s="117">
        <f>SUM(Ffilm!$Q:$Q)</f>
        <v>0</v>
      </c>
      <c r="D747" s="102">
        <f t="shared" si="528"/>
        <v>1</v>
      </c>
      <c r="E747" s="14"/>
      <c r="F747" s="14"/>
      <c r="G747" s="14"/>
      <c r="H747" s="14"/>
      <c r="I747" s="14"/>
      <c r="J747" s="14"/>
      <c r="K747" s="100"/>
      <c r="L747" s="102">
        <f t="shared" si="529"/>
        <v>1</v>
      </c>
      <c r="M747" s="102" t="str">
        <f t="shared" ref="M747" si="539">IF(C746&lt;=C747,"ok","wrong")</f>
        <v>ok</v>
      </c>
    </row>
    <row r="748" spans="1:13">
      <c r="A748" s="116"/>
      <c r="B748" s="116" t="s">
        <v>703</v>
      </c>
      <c r="C748" s="117">
        <f>SUM(Ffilm!$L:$L)</f>
        <v>0</v>
      </c>
      <c r="D748" s="102">
        <f t="shared" si="528"/>
        <v>1</v>
      </c>
      <c r="E748" s="14"/>
      <c r="F748" s="14"/>
      <c r="G748" s="14"/>
      <c r="H748" s="14"/>
      <c r="I748" s="14"/>
      <c r="J748" s="14"/>
      <c r="K748" s="100"/>
      <c r="L748" s="102">
        <f t="shared" si="529"/>
        <v>1</v>
      </c>
      <c r="M748" s="102" t="str">
        <f t="shared" ref="M748" si="540">IF(AND(C748&gt;=0.1,SUM(C749)&gt;=C748),"ok",IF(AND(C748=0,SUM(C749)=0),"ok",IF(AND(C748&gt;0.1,SUM(C749)=0),"wrong",IF(AND(C748=0,SUM(C749)&gt;0.1),"wrong"))))</f>
        <v>ok</v>
      </c>
    </row>
    <row r="749" spans="1:13">
      <c r="A749" s="116"/>
      <c r="B749" s="116" t="s">
        <v>704</v>
      </c>
      <c r="C749" s="117">
        <f>SUM(Ffilm!$R:$R)</f>
        <v>0</v>
      </c>
      <c r="D749" s="102">
        <f t="shared" si="528"/>
        <v>1</v>
      </c>
      <c r="E749" s="14"/>
      <c r="F749" s="14"/>
      <c r="G749" s="14"/>
      <c r="H749" s="14"/>
      <c r="I749" s="14"/>
      <c r="J749" s="14"/>
      <c r="K749" s="100"/>
      <c r="L749" s="102">
        <f t="shared" si="529"/>
        <v>1</v>
      </c>
      <c r="M749" s="102" t="str">
        <f t="shared" ref="M749" si="541">IF(C748&lt;=C749,"ok","wrong")</f>
        <v>ok</v>
      </c>
    </row>
    <row r="750" spans="1:13">
      <c r="A750" s="116" t="s">
        <v>705</v>
      </c>
      <c r="B750" s="118" t="s">
        <v>684</v>
      </c>
      <c r="C750" s="117">
        <f>COUNTIF(Ffilm!$T:$T,"Do")</f>
        <v>0</v>
      </c>
      <c r="D750" s="14"/>
      <c r="E750" s="14"/>
      <c r="F750" s="14"/>
      <c r="G750" s="14"/>
      <c r="H750" s="14"/>
      <c r="I750" s="14"/>
      <c r="J750" s="14"/>
      <c r="K750" s="100"/>
      <c r="L750" s="102"/>
      <c r="M750" s="102"/>
    </row>
    <row r="751" spans="1:13">
      <c r="A751" s="116"/>
      <c r="B751" s="118" t="s">
        <v>685</v>
      </c>
      <c r="C751" s="117">
        <f>COUNTIF(Ffilm!$U:$U,"Do")</f>
        <v>0</v>
      </c>
      <c r="D751" s="14"/>
      <c r="E751" s="14"/>
      <c r="F751" s="14"/>
      <c r="G751" s="14"/>
      <c r="H751" s="14"/>
      <c r="I751" s="14"/>
      <c r="J751" s="14"/>
      <c r="K751" s="100"/>
      <c r="L751" s="102"/>
      <c r="M751" s="102"/>
    </row>
    <row r="752" spans="1:13">
      <c r="A752" s="116"/>
      <c r="B752" s="118" t="s">
        <v>686</v>
      </c>
      <c r="C752" s="117">
        <f>COUNTIF(Ffilm!$V:$V,"Do")</f>
        <v>0</v>
      </c>
      <c r="D752" s="14"/>
      <c r="E752" s="14"/>
      <c r="F752" s="14"/>
      <c r="G752" s="14"/>
      <c r="H752" s="14"/>
      <c r="I752" s="14"/>
      <c r="J752" s="14"/>
      <c r="K752" s="100"/>
      <c r="L752" s="102"/>
      <c r="M752" s="102"/>
    </row>
    <row r="753" spans="1:13">
      <c r="A753" s="116"/>
      <c r="B753" s="118" t="s">
        <v>170</v>
      </c>
      <c r="C753" s="117">
        <f>COUNTIF(Ffilm!$W:$W,"Do")</f>
        <v>0</v>
      </c>
      <c r="D753" s="14"/>
      <c r="E753" s="14"/>
      <c r="F753" s="14"/>
      <c r="G753" s="14"/>
      <c r="H753" s="14"/>
      <c r="I753" s="14"/>
      <c r="J753" s="14"/>
      <c r="K753" s="100"/>
      <c r="L753" s="102"/>
      <c r="M753" s="102"/>
    </row>
    <row r="754" spans="1:13">
      <c r="A754" s="116" t="s">
        <v>706</v>
      </c>
      <c r="B754" s="118" t="s">
        <v>491</v>
      </c>
      <c r="C754" s="117">
        <f>COUNTIF(Ffilm!$X:$X,"Do")</f>
        <v>0</v>
      </c>
      <c r="D754" s="14"/>
      <c r="E754" s="14"/>
      <c r="F754" s="14"/>
      <c r="G754" s="14"/>
      <c r="H754" s="14"/>
      <c r="I754" s="14"/>
      <c r="J754" s="14"/>
      <c r="K754" s="100"/>
      <c r="L754" s="102"/>
      <c r="M754" s="102"/>
    </row>
    <row r="755" spans="1:13">
      <c r="A755" s="116"/>
      <c r="B755" s="118" t="s">
        <v>585</v>
      </c>
      <c r="C755" s="117">
        <f>COUNTIF(Ffilm!$Y:$Y,"Do")</f>
        <v>0</v>
      </c>
      <c r="D755" s="14"/>
      <c r="E755" s="14"/>
      <c r="F755" s="14"/>
      <c r="G755" s="14"/>
      <c r="H755" s="14"/>
      <c r="I755" s="14"/>
      <c r="J755" s="14"/>
      <c r="K755" s="100"/>
      <c r="L755" s="102"/>
      <c r="M755" s="102"/>
    </row>
    <row r="756" spans="1:13">
      <c r="A756" s="116"/>
      <c r="B756" s="118" t="s">
        <v>586</v>
      </c>
      <c r="C756" s="117">
        <f>COUNTIF(Ffilm!$Z:$Z,"Do")</f>
        <v>0</v>
      </c>
      <c r="D756" s="14"/>
      <c r="E756" s="14"/>
      <c r="F756" s="14"/>
      <c r="G756" s="14"/>
      <c r="H756" s="14"/>
      <c r="I756" s="14"/>
      <c r="J756" s="14"/>
      <c r="K756" s="100"/>
      <c r="L756" s="102"/>
      <c r="M756" s="102"/>
    </row>
    <row r="757" spans="1:13">
      <c r="A757" s="116"/>
      <c r="B757" s="118" t="s">
        <v>90</v>
      </c>
      <c r="C757" s="117">
        <f>COUNTIF(Ffilm!$AA:$AA,"Do")</f>
        <v>0</v>
      </c>
      <c r="D757" s="14"/>
      <c r="E757" s="14"/>
      <c r="F757" s="14"/>
      <c r="G757" s="14"/>
      <c r="H757" s="14"/>
      <c r="I757" s="14"/>
      <c r="J757" s="14"/>
      <c r="K757" s="100"/>
      <c r="L757" s="102"/>
      <c r="M757" s="102"/>
    </row>
    <row r="758" spans="1:13">
      <c r="A758" s="116"/>
      <c r="B758" s="118" t="s">
        <v>587</v>
      </c>
      <c r="C758" s="117">
        <f>COUNTIF(Ffilm!$AB:$AB,"Do")</f>
        <v>0</v>
      </c>
      <c r="D758" s="14"/>
      <c r="E758" s="14"/>
      <c r="F758" s="14"/>
      <c r="G758" s="14"/>
      <c r="H758" s="14"/>
      <c r="I758" s="14"/>
      <c r="J758" s="14"/>
      <c r="K758" s="100"/>
      <c r="L758" s="102"/>
      <c r="M758" s="102"/>
    </row>
    <row r="759" spans="1:13">
      <c r="A759" s="116"/>
      <c r="B759" s="118" t="s">
        <v>588</v>
      </c>
      <c r="C759" s="117">
        <f>COUNTIF(Ffilm!$AC:$AC,"Do")</f>
        <v>0</v>
      </c>
      <c r="D759" s="14"/>
      <c r="E759" s="14"/>
      <c r="F759" s="14"/>
      <c r="G759" s="14"/>
      <c r="H759" s="14"/>
      <c r="I759" s="14"/>
      <c r="J759" s="14"/>
      <c r="K759" s="100"/>
      <c r="L759" s="102"/>
      <c r="M759" s="102"/>
    </row>
    <row r="760" spans="1:13">
      <c r="A760" s="116"/>
      <c r="B760" s="118" t="s">
        <v>589</v>
      </c>
      <c r="C760" s="117">
        <f>COUNTIF(Ffilm!$AD:$AD,"Do")</f>
        <v>0</v>
      </c>
      <c r="D760" s="14"/>
      <c r="E760" s="14"/>
      <c r="F760" s="14"/>
      <c r="G760" s="14"/>
      <c r="H760" s="14"/>
      <c r="I760" s="14"/>
      <c r="J760" s="14"/>
      <c r="K760" s="100"/>
      <c r="L760" s="102"/>
      <c r="M760" s="102"/>
    </row>
    <row r="761" spans="1:13">
      <c r="A761" s="116"/>
      <c r="B761" s="118" t="s">
        <v>590</v>
      </c>
      <c r="C761" s="117">
        <f>COUNTIF(Ffilm!$AE:$AE,"Do")</f>
        <v>0</v>
      </c>
      <c r="D761" s="14"/>
      <c r="E761" s="14"/>
      <c r="F761" s="14"/>
      <c r="G761" s="14"/>
      <c r="H761" s="14"/>
      <c r="I761" s="14"/>
      <c r="J761" s="14"/>
      <c r="K761" s="100"/>
      <c r="L761" s="102"/>
      <c r="M761" s="102"/>
    </row>
    <row r="762" spans="1:13">
      <c r="A762" s="116"/>
      <c r="B762" s="118" t="s">
        <v>96</v>
      </c>
      <c r="C762" s="117">
        <f>COUNTIF(Ffilm!$AF:$AF,"Do")</f>
        <v>0</v>
      </c>
      <c r="D762" s="14"/>
      <c r="E762" s="14"/>
      <c r="F762" s="14"/>
      <c r="G762" s="14"/>
      <c r="H762" s="14"/>
      <c r="I762" s="14"/>
      <c r="J762" s="14"/>
      <c r="K762" s="100"/>
      <c r="L762" s="102"/>
      <c r="M762" s="102"/>
    </row>
    <row r="763" spans="1:13">
      <c r="A763" s="116"/>
      <c r="B763" s="118" t="s">
        <v>97</v>
      </c>
      <c r="C763" s="117">
        <f>COUNTIF(Ffilm!$AG:$AG,"Do")</f>
        <v>0</v>
      </c>
      <c r="D763" s="14"/>
      <c r="E763" s="14"/>
      <c r="F763" s="14"/>
      <c r="G763" s="14"/>
      <c r="H763" s="14"/>
      <c r="I763" s="14"/>
      <c r="J763" s="14"/>
      <c r="K763" s="100"/>
      <c r="L763" s="102"/>
      <c r="M763" s="102"/>
    </row>
    <row r="764" spans="1:13">
      <c r="A764" s="116" t="s">
        <v>707</v>
      </c>
      <c r="B764" s="118" t="s">
        <v>593</v>
      </c>
      <c r="C764" s="117">
        <f>COUNTIF(Ffilm!$AH:$AH,"Do")</f>
        <v>0</v>
      </c>
      <c r="D764" s="14"/>
      <c r="E764" s="14"/>
      <c r="F764" s="14"/>
      <c r="G764" s="14"/>
      <c r="H764" s="14"/>
      <c r="I764" s="14"/>
      <c r="J764" s="14"/>
      <c r="K764" s="100"/>
      <c r="L764" s="102"/>
      <c r="M764" s="102"/>
    </row>
    <row r="765" spans="1:13">
      <c r="A765" s="116"/>
      <c r="B765" s="118" t="s">
        <v>594</v>
      </c>
      <c r="C765" s="117">
        <f>COUNTIF(Ffilm!$AI:$AI,"Do")</f>
        <v>0</v>
      </c>
      <c r="D765" s="14"/>
      <c r="E765" s="14"/>
      <c r="F765" s="14"/>
      <c r="G765" s="14"/>
      <c r="H765" s="14"/>
      <c r="I765" s="14"/>
      <c r="J765" s="14"/>
      <c r="K765" s="100"/>
      <c r="L765" s="102"/>
      <c r="M765" s="102"/>
    </row>
    <row r="766" spans="1:13">
      <c r="A766" s="116"/>
      <c r="B766" s="118" t="s">
        <v>595</v>
      </c>
      <c r="C766" s="117">
        <f>COUNTIF(Ffilm!$AJ:$AJ,"Do")</f>
        <v>0</v>
      </c>
      <c r="D766" s="14"/>
      <c r="E766" s="14"/>
      <c r="F766" s="14"/>
      <c r="G766" s="14"/>
      <c r="H766" s="14"/>
      <c r="I766" s="14"/>
      <c r="J766" s="14"/>
      <c r="K766" s="100"/>
      <c r="L766" s="102"/>
      <c r="M766" s="102"/>
    </row>
    <row r="767" spans="1:13">
      <c r="A767" s="116"/>
      <c r="B767" s="118" t="s">
        <v>596</v>
      </c>
      <c r="C767" s="117">
        <f>COUNTIF(Ffilm!$AK:$AK,"Do")</f>
        <v>0</v>
      </c>
      <c r="D767" s="14"/>
      <c r="E767" s="14"/>
      <c r="F767" s="14"/>
      <c r="G767" s="14"/>
      <c r="H767" s="14"/>
      <c r="I767" s="14"/>
      <c r="J767" s="14"/>
      <c r="K767" s="100"/>
      <c r="L767" s="102"/>
      <c r="M767" s="102"/>
    </row>
    <row r="768" spans="1:13">
      <c r="A768" s="116"/>
      <c r="B768" s="118" t="s">
        <v>597</v>
      </c>
      <c r="C768" s="117">
        <f>COUNTIF(Ffilm!$AL:$AL,"Do")</f>
        <v>0</v>
      </c>
      <c r="D768" s="14"/>
      <c r="E768" s="14"/>
      <c r="F768" s="14"/>
      <c r="G768" s="14"/>
      <c r="H768" s="14"/>
      <c r="I768" s="14"/>
      <c r="J768" s="14"/>
      <c r="K768" s="100"/>
      <c r="L768" s="102"/>
      <c r="M768" s="102"/>
    </row>
    <row r="769" spans="1:13" ht="29">
      <c r="A769" s="116"/>
      <c r="B769" s="118" t="s">
        <v>598</v>
      </c>
      <c r="C769" s="117">
        <f>COUNTIF(Ffilm!$AM:$AM,"Do")</f>
        <v>0</v>
      </c>
      <c r="D769" s="14"/>
      <c r="E769" s="14"/>
      <c r="F769" s="14"/>
      <c r="G769" s="14"/>
      <c r="H769" s="14"/>
      <c r="I769" s="14"/>
      <c r="J769" s="14"/>
      <c r="K769" s="100"/>
      <c r="L769" s="102"/>
      <c r="M769" s="102"/>
    </row>
    <row r="770" spans="1:13" ht="16">
      <c r="A770" s="90"/>
      <c r="B770" s="90"/>
      <c r="C770" s="90"/>
      <c r="D770" s="14"/>
      <c r="E770" s="14"/>
      <c r="F770" s="14"/>
      <c r="G770" s="14"/>
      <c r="H770" s="14"/>
      <c r="I770" s="14"/>
      <c r="J770" s="14"/>
      <c r="K770" s="100"/>
      <c r="L770" s="102"/>
      <c r="M770" s="102"/>
    </row>
    <row r="771" spans="1:13">
      <c r="A771" s="119" t="s">
        <v>708</v>
      </c>
      <c r="B771" s="119"/>
      <c r="C771" s="119"/>
      <c r="D771" s="14"/>
      <c r="E771" s="14"/>
      <c r="F771" s="14"/>
      <c r="G771" s="14"/>
      <c r="H771" s="14"/>
      <c r="I771" s="14"/>
      <c r="J771" s="14"/>
      <c r="K771" s="100"/>
      <c r="L771" s="102"/>
      <c r="M771" s="102"/>
    </row>
    <row r="772" spans="1:13">
      <c r="A772" s="119"/>
      <c r="B772" s="119"/>
      <c r="C772" s="119"/>
      <c r="D772" s="14"/>
      <c r="E772" s="14"/>
      <c r="F772" s="14"/>
      <c r="G772" s="14"/>
      <c r="H772" s="14"/>
      <c r="I772" s="14"/>
      <c r="J772" s="14"/>
      <c r="K772" s="100"/>
      <c r="L772" s="102"/>
      <c r="M772" s="102"/>
    </row>
    <row r="773" spans="1:13">
      <c r="A773" s="119" t="s">
        <v>709</v>
      </c>
      <c r="B773" s="119" t="s">
        <v>710</v>
      </c>
      <c r="C773" s="120">
        <f>SUM('Darllediadau ac Ar-lein'!$C:$C)</f>
        <v>0</v>
      </c>
      <c r="D773" s="14"/>
      <c r="E773" s="14"/>
      <c r="F773" s="14"/>
      <c r="G773" s="14"/>
      <c r="H773" s="14"/>
      <c r="I773" s="14"/>
      <c r="J773" s="14"/>
      <c r="K773" s="100"/>
      <c r="L773" s="102"/>
      <c r="M773" s="102"/>
    </row>
    <row r="774" spans="1:13">
      <c r="A774" s="119"/>
      <c r="B774" s="119" t="s">
        <v>711</v>
      </c>
      <c r="C774" s="120">
        <f>SUM('Darllediadau ac Ar-lein'!$D:$D)</f>
        <v>0</v>
      </c>
      <c r="D774" s="14"/>
      <c r="E774" s="14"/>
      <c r="F774" s="14"/>
      <c r="G774" s="14"/>
      <c r="H774" s="14"/>
      <c r="I774" s="14"/>
      <c r="J774" s="14"/>
      <c r="K774" s="100"/>
      <c r="L774" s="102"/>
      <c r="M774" s="102"/>
    </row>
    <row r="775" spans="1:13">
      <c r="A775" s="119"/>
      <c r="B775" s="119" t="s">
        <v>712</v>
      </c>
      <c r="C775" s="120">
        <f>SUM('Darllediadau ac Ar-lein'!$E:$E)</f>
        <v>0</v>
      </c>
      <c r="D775" s="14"/>
      <c r="E775" s="14"/>
      <c r="F775" s="14"/>
      <c r="G775" s="14"/>
      <c r="H775" s="14"/>
      <c r="I775" s="14"/>
      <c r="J775" s="14"/>
      <c r="K775" s="100"/>
      <c r="L775" s="102"/>
      <c r="M775" s="102"/>
    </row>
    <row r="776" spans="1:13">
      <c r="A776" s="119"/>
      <c r="B776" s="119" t="s">
        <v>713</v>
      </c>
      <c r="C776" s="120">
        <f>SUM('Darllediadau ac Ar-lein'!$F:$F)</f>
        <v>0</v>
      </c>
      <c r="D776" s="14"/>
      <c r="E776" s="14"/>
      <c r="F776" s="14"/>
      <c r="G776" s="14"/>
      <c r="H776" s="14"/>
      <c r="I776" s="14"/>
      <c r="J776" s="14"/>
      <c r="K776" s="100"/>
      <c r="L776" s="102"/>
      <c r="M776" s="102"/>
    </row>
    <row r="777" spans="1:13">
      <c r="A777" s="119"/>
      <c r="B777" s="119" t="s">
        <v>714</v>
      </c>
      <c r="C777" s="120">
        <f>SUM('Darllediadau ac Ar-lein'!$G:$G)</f>
        <v>0</v>
      </c>
      <c r="D777" s="14"/>
      <c r="E777" s="14"/>
      <c r="F777" s="14"/>
      <c r="G777" s="14"/>
      <c r="H777" s="14"/>
      <c r="I777" s="14"/>
      <c r="J777" s="14"/>
      <c r="K777" s="100"/>
      <c r="L777" s="102"/>
      <c r="M777" s="102"/>
    </row>
    <row r="778" spans="1:13">
      <c r="A778" s="119"/>
      <c r="B778" s="119" t="s">
        <v>715</v>
      </c>
      <c r="C778" s="120">
        <f>SUM('Darllediadau ac Ar-lein'!$H:$H)</f>
        <v>0</v>
      </c>
      <c r="D778" s="14"/>
      <c r="E778" s="14"/>
      <c r="F778" s="14"/>
      <c r="G778" s="14"/>
      <c r="H778" s="14"/>
      <c r="I778" s="14"/>
      <c r="J778" s="14"/>
      <c r="K778" s="100"/>
      <c r="L778" s="102"/>
      <c r="M778" s="102"/>
    </row>
    <row r="779" spans="1:13">
      <c r="A779" s="119"/>
      <c r="B779" s="119" t="s">
        <v>716</v>
      </c>
      <c r="C779" s="120">
        <f>SUM('Darllediadau ac Ar-lein'!$I:$I)</f>
        <v>0</v>
      </c>
      <c r="D779" s="14"/>
      <c r="E779" s="14"/>
      <c r="F779" s="14"/>
      <c r="G779" s="14"/>
      <c r="H779" s="14"/>
      <c r="I779" s="14"/>
      <c r="J779" s="14"/>
      <c r="K779" s="100"/>
      <c r="L779" s="102"/>
      <c r="M779" s="102"/>
    </row>
    <row r="780" spans="1:13">
      <c r="A780" s="119"/>
      <c r="B780" s="119" t="s">
        <v>717</v>
      </c>
      <c r="C780" s="120">
        <f>SUM('Darllediadau ac Ar-lein'!$J:$J)</f>
        <v>0</v>
      </c>
      <c r="D780" s="14"/>
      <c r="E780" s="14"/>
      <c r="F780" s="14"/>
      <c r="G780" s="14"/>
      <c r="H780" s="14"/>
      <c r="I780" s="14"/>
      <c r="J780" s="14"/>
      <c r="K780" s="100"/>
      <c r="L780" s="102"/>
      <c r="M780" s="102"/>
    </row>
    <row r="781" spans="1:13">
      <c r="A781" s="119"/>
      <c r="B781" s="119" t="s">
        <v>718</v>
      </c>
      <c r="C781" s="120">
        <f>SUM('Darllediadau ac Ar-lein'!$K:$K)</f>
        <v>0</v>
      </c>
      <c r="D781" s="14"/>
      <c r="E781" s="14"/>
      <c r="F781" s="14"/>
      <c r="G781" s="14"/>
      <c r="H781" s="14"/>
      <c r="I781" s="14"/>
      <c r="J781" s="14"/>
      <c r="K781" s="100"/>
      <c r="L781" s="102"/>
      <c r="M781" s="102"/>
    </row>
    <row r="782" spans="1:13">
      <c r="A782" s="119"/>
      <c r="B782" s="119" t="s">
        <v>719</v>
      </c>
      <c r="C782" s="120">
        <f>SUM('Darllediadau ac Ar-lein'!$L:$L)</f>
        <v>0</v>
      </c>
      <c r="D782" s="14"/>
      <c r="E782" s="14"/>
      <c r="F782" s="14"/>
      <c r="G782" s="14"/>
      <c r="H782" s="14"/>
      <c r="I782" s="14"/>
      <c r="J782" s="14"/>
      <c r="K782" s="100"/>
      <c r="L782" s="102"/>
      <c r="M782" s="102"/>
    </row>
    <row r="783" spans="1:13">
      <c r="A783" s="119"/>
      <c r="B783" s="119" t="s">
        <v>720</v>
      </c>
      <c r="C783" s="120">
        <f>SUM('Darllediadau ac Ar-lein'!$M:$M)</f>
        <v>0</v>
      </c>
      <c r="D783" s="14"/>
      <c r="E783" s="14"/>
      <c r="F783" s="14"/>
      <c r="G783" s="14"/>
      <c r="H783" s="14"/>
      <c r="I783" s="14"/>
      <c r="J783" s="14"/>
      <c r="K783" s="100"/>
      <c r="L783" s="102"/>
      <c r="M783" s="102"/>
    </row>
    <row r="784" spans="1:13">
      <c r="A784" s="119"/>
      <c r="B784" s="119" t="s">
        <v>721</v>
      </c>
      <c r="C784" s="120">
        <f>SUM('Darllediadau ac Ar-lein'!$N:$N)</f>
        <v>0</v>
      </c>
      <c r="D784" s="14"/>
      <c r="E784" s="14"/>
      <c r="F784" s="14"/>
      <c r="G784" s="14"/>
      <c r="H784" s="14"/>
      <c r="I784" s="14"/>
      <c r="J784" s="14"/>
      <c r="K784" s="100"/>
      <c r="L784" s="102"/>
      <c r="M784" s="102"/>
    </row>
    <row r="785" spans="1:13">
      <c r="A785" s="119"/>
      <c r="B785" s="119" t="s">
        <v>722</v>
      </c>
      <c r="C785" s="120">
        <f>SUM('Darllediadau ac Ar-lein'!$O:$O)</f>
        <v>0</v>
      </c>
      <c r="D785" s="14"/>
      <c r="E785" s="14"/>
      <c r="F785" s="14"/>
      <c r="G785" s="14"/>
      <c r="H785" s="14"/>
      <c r="I785" s="14"/>
      <c r="J785" s="14"/>
      <c r="K785" s="100"/>
      <c r="L785" s="102"/>
      <c r="M785" s="102"/>
    </row>
    <row r="786" spans="1:13">
      <c r="A786" s="119"/>
      <c r="B786" s="119" t="s">
        <v>723</v>
      </c>
      <c r="C786" s="120">
        <f>SUM('Darllediadau ac Ar-lein'!$P:$P)</f>
        <v>0</v>
      </c>
      <c r="D786" s="14"/>
      <c r="E786" s="14"/>
      <c r="F786" s="14"/>
      <c r="G786" s="14"/>
      <c r="H786" s="14"/>
      <c r="I786" s="14"/>
      <c r="J786" s="14"/>
      <c r="K786" s="100"/>
      <c r="L786" s="102"/>
      <c r="M786" s="102"/>
    </row>
    <row r="787" spans="1:13">
      <c r="A787" s="119"/>
      <c r="B787" s="119" t="s">
        <v>724</v>
      </c>
      <c r="C787" s="120">
        <f>SUM('Darllediadau ac Ar-lein'!$Q:$Q)</f>
        <v>0</v>
      </c>
      <c r="D787" s="14"/>
      <c r="E787" s="14"/>
      <c r="F787" s="14"/>
      <c r="G787" s="14"/>
      <c r="H787" s="14"/>
      <c r="I787" s="14"/>
      <c r="J787" s="14"/>
      <c r="K787" s="100"/>
      <c r="L787" s="102"/>
      <c r="M787" s="102"/>
    </row>
    <row r="788" spans="1:13">
      <c r="A788" s="119"/>
      <c r="B788" s="119" t="s">
        <v>725</v>
      </c>
      <c r="C788" s="120">
        <f>SUM('Darllediadau ac Ar-lein'!$R:$R)</f>
        <v>0</v>
      </c>
      <c r="D788" s="14"/>
      <c r="E788" s="14"/>
      <c r="F788" s="14"/>
      <c r="G788" s="14"/>
      <c r="H788" s="14"/>
      <c r="I788" s="14"/>
      <c r="J788" s="14"/>
      <c r="K788" s="100"/>
      <c r="L788" s="102"/>
      <c r="M788" s="102"/>
    </row>
    <row r="789" spans="1:13">
      <c r="A789" s="119"/>
      <c r="B789" s="119" t="s">
        <v>726</v>
      </c>
      <c r="C789" s="120">
        <f>SUM('Darllediadau ac Ar-lein'!$S:$S)</f>
        <v>0</v>
      </c>
      <c r="D789" s="14"/>
      <c r="E789" s="14"/>
      <c r="F789" s="14"/>
      <c r="G789" s="14"/>
      <c r="H789" s="14"/>
      <c r="I789" s="14"/>
      <c r="J789" s="14"/>
      <c r="K789" s="100"/>
      <c r="L789" s="102"/>
      <c r="M789" s="102"/>
    </row>
    <row r="790" spans="1:13">
      <c r="A790" s="119"/>
      <c r="B790" s="119" t="s">
        <v>727</v>
      </c>
      <c r="C790" s="120">
        <f>SUM('Darllediadau ac Ar-lein'!$T:$T)</f>
        <v>0</v>
      </c>
      <c r="D790" s="14"/>
      <c r="E790" s="14"/>
      <c r="F790" s="14"/>
      <c r="G790" s="14"/>
      <c r="H790" s="14"/>
      <c r="I790" s="14"/>
      <c r="J790" s="14"/>
      <c r="K790" s="100"/>
      <c r="L790" s="102"/>
      <c r="M790" s="102"/>
    </row>
    <row r="791" spans="1:13">
      <c r="A791" s="119" t="s">
        <v>728</v>
      </c>
      <c r="B791" s="119" t="s">
        <v>710</v>
      </c>
      <c r="C791" s="120">
        <f>SUM('Darllediadau ac Ar-lein'!$V:$V)</f>
        <v>0</v>
      </c>
      <c r="D791" s="14"/>
      <c r="E791" s="14"/>
      <c r="F791" s="14"/>
      <c r="G791" s="14"/>
      <c r="H791" s="14"/>
      <c r="I791" s="14"/>
      <c r="J791" s="14"/>
      <c r="K791" s="100"/>
      <c r="L791" s="102"/>
      <c r="M791" s="102"/>
    </row>
    <row r="792" spans="1:13">
      <c r="A792" s="119"/>
      <c r="B792" s="119" t="s">
        <v>711</v>
      </c>
      <c r="C792" s="120">
        <f>SUM('Darllediadau ac Ar-lein'!$W:$W)</f>
        <v>0</v>
      </c>
      <c r="D792" s="14"/>
      <c r="E792" s="14"/>
      <c r="F792" s="14"/>
      <c r="G792" s="14"/>
      <c r="H792" s="14"/>
      <c r="I792" s="14"/>
      <c r="J792" s="14"/>
      <c r="K792" s="100"/>
      <c r="L792" s="102"/>
      <c r="M792" s="102"/>
    </row>
    <row r="793" spans="1:13">
      <c r="A793" s="119"/>
      <c r="B793" s="119" t="s">
        <v>712</v>
      </c>
      <c r="C793" s="120">
        <f>SUM('Darllediadau ac Ar-lein'!$X:$X)</f>
        <v>0</v>
      </c>
      <c r="D793" s="14"/>
      <c r="E793" s="14"/>
      <c r="F793" s="14"/>
      <c r="G793" s="14"/>
      <c r="H793" s="14"/>
      <c r="I793" s="14"/>
      <c r="J793" s="14"/>
      <c r="K793" s="100"/>
      <c r="L793" s="102"/>
      <c r="M793" s="102"/>
    </row>
    <row r="794" spans="1:13">
      <c r="A794" s="119"/>
      <c r="B794" s="119" t="s">
        <v>713</v>
      </c>
      <c r="C794" s="120">
        <f>SUM('Darllediadau ac Ar-lein'!$Y:$Y)</f>
        <v>0</v>
      </c>
      <c r="D794" s="14"/>
      <c r="E794" s="14"/>
      <c r="F794" s="14"/>
      <c r="G794" s="14"/>
      <c r="H794" s="14"/>
      <c r="I794" s="14"/>
      <c r="J794" s="14"/>
      <c r="K794" s="100"/>
      <c r="L794" s="102"/>
      <c r="M794" s="102"/>
    </row>
    <row r="795" spans="1:13">
      <c r="A795" s="119"/>
      <c r="B795" s="119" t="s">
        <v>714</v>
      </c>
      <c r="C795" s="120">
        <f>SUM('Darllediadau ac Ar-lein'!$Z:$Z)</f>
        <v>0</v>
      </c>
      <c r="D795" s="14"/>
      <c r="E795" s="14"/>
      <c r="F795" s="14"/>
      <c r="G795" s="14"/>
      <c r="H795" s="14"/>
      <c r="I795" s="14"/>
      <c r="J795" s="14"/>
      <c r="K795" s="100"/>
      <c r="L795" s="102"/>
      <c r="M795" s="102"/>
    </row>
    <row r="796" spans="1:13">
      <c r="A796" s="119"/>
      <c r="B796" s="119" t="s">
        <v>715</v>
      </c>
      <c r="C796" s="120">
        <f>SUM('Darllediadau ac Ar-lein'!$AA:$AA)</f>
        <v>0</v>
      </c>
      <c r="D796" s="14"/>
      <c r="E796" s="14"/>
      <c r="F796" s="14"/>
      <c r="G796" s="14"/>
      <c r="H796" s="14"/>
      <c r="I796" s="14"/>
      <c r="J796" s="14"/>
      <c r="K796" s="100"/>
      <c r="L796" s="102"/>
      <c r="M796" s="102"/>
    </row>
    <row r="797" spans="1:13">
      <c r="A797" s="119"/>
      <c r="B797" s="119" t="s">
        <v>716</v>
      </c>
      <c r="C797" s="120">
        <f>SUM('Darllediadau ac Ar-lein'!$AB:$AB)</f>
        <v>0</v>
      </c>
      <c r="D797" s="14"/>
      <c r="E797" s="14"/>
      <c r="F797" s="14"/>
      <c r="G797" s="14"/>
      <c r="H797" s="14"/>
      <c r="I797" s="14"/>
      <c r="J797" s="14"/>
      <c r="K797" s="100"/>
      <c r="L797" s="102"/>
      <c r="M797" s="102"/>
    </row>
    <row r="798" spans="1:13">
      <c r="A798" s="119"/>
      <c r="B798" s="119" t="s">
        <v>717</v>
      </c>
      <c r="C798" s="120">
        <f>SUM('Darllediadau ac Ar-lein'!$AC:$AC)</f>
        <v>0</v>
      </c>
      <c r="D798" s="14"/>
      <c r="E798" s="14"/>
      <c r="F798" s="14"/>
      <c r="G798" s="14"/>
      <c r="H798" s="14"/>
      <c r="I798" s="14"/>
      <c r="J798" s="14"/>
      <c r="K798" s="100"/>
      <c r="L798" s="102"/>
      <c r="M798" s="102"/>
    </row>
    <row r="799" spans="1:13">
      <c r="A799" s="119"/>
      <c r="B799" s="119" t="s">
        <v>718</v>
      </c>
      <c r="C799" s="120">
        <f>SUM('Darllediadau ac Ar-lein'!$AD:$AD)</f>
        <v>0</v>
      </c>
      <c r="D799" s="14"/>
      <c r="E799" s="14"/>
      <c r="F799" s="14"/>
      <c r="G799" s="14"/>
      <c r="H799" s="14"/>
      <c r="I799" s="14"/>
      <c r="J799" s="14"/>
      <c r="K799" s="100"/>
      <c r="L799" s="102"/>
      <c r="M799" s="102"/>
    </row>
    <row r="800" spans="1:13">
      <c r="A800" s="119"/>
      <c r="B800" s="119" t="s">
        <v>719</v>
      </c>
      <c r="C800" s="120">
        <f>SUM('Darllediadau ac Ar-lein'!$AE:$AE)</f>
        <v>0</v>
      </c>
      <c r="D800" s="14"/>
      <c r="E800" s="14"/>
      <c r="F800" s="14"/>
      <c r="G800" s="14"/>
      <c r="H800" s="14"/>
      <c r="I800" s="14"/>
      <c r="J800" s="14"/>
      <c r="K800" s="100"/>
      <c r="L800" s="102"/>
      <c r="M800" s="102"/>
    </row>
    <row r="801" spans="1:13">
      <c r="A801" s="119"/>
      <c r="B801" s="119" t="s">
        <v>720</v>
      </c>
      <c r="C801" s="120">
        <f>SUM('Darllediadau ac Ar-lein'!$AF:$AF)</f>
        <v>0</v>
      </c>
      <c r="D801" s="14"/>
      <c r="E801" s="14"/>
      <c r="F801" s="14"/>
      <c r="G801" s="14"/>
      <c r="H801" s="14"/>
      <c r="I801" s="14"/>
      <c r="J801" s="14"/>
      <c r="K801" s="100"/>
      <c r="L801" s="102"/>
      <c r="M801" s="102"/>
    </row>
    <row r="802" spans="1:13">
      <c r="A802" s="119"/>
      <c r="B802" s="119" t="s">
        <v>721</v>
      </c>
      <c r="C802" s="120">
        <f>SUM('Darllediadau ac Ar-lein'!$AG:$AG)</f>
        <v>0</v>
      </c>
      <c r="D802" s="14"/>
      <c r="E802" s="14"/>
      <c r="F802" s="14"/>
      <c r="G802" s="14"/>
      <c r="H802" s="14"/>
      <c r="I802" s="14"/>
      <c r="J802" s="14"/>
      <c r="K802" s="100"/>
      <c r="L802" s="102"/>
      <c r="M802" s="102"/>
    </row>
    <row r="803" spans="1:13">
      <c r="A803" s="119"/>
      <c r="B803" s="119" t="s">
        <v>722</v>
      </c>
      <c r="C803" s="120">
        <f>SUM('Darllediadau ac Ar-lein'!$AH:$AH)</f>
        <v>0</v>
      </c>
      <c r="D803" s="14"/>
      <c r="E803" s="14"/>
      <c r="F803" s="14"/>
      <c r="G803" s="14"/>
      <c r="H803" s="14"/>
      <c r="I803" s="14"/>
      <c r="J803" s="14"/>
      <c r="K803" s="100"/>
      <c r="L803" s="102"/>
      <c r="M803" s="102"/>
    </row>
    <row r="804" spans="1:13">
      <c r="A804" s="119"/>
      <c r="B804" s="119" t="s">
        <v>723</v>
      </c>
      <c r="C804" s="120">
        <f>SUM('Darllediadau ac Ar-lein'!$AI:$AI)</f>
        <v>0</v>
      </c>
      <c r="D804" s="14"/>
      <c r="E804" s="14"/>
      <c r="F804" s="14"/>
      <c r="G804" s="14"/>
      <c r="H804" s="14"/>
      <c r="I804" s="14"/>
      <c r="J804" s="14"/>
      <c r="K804" s="100"/>
      <c r="L804" s="102"/>
      <c r="M804" s="102"/>
    </row>
    <row r="805" spans="1:13">
      <c r="A805" s="119"/>
      <c r="B805" s="119" t="s">
        <v>724</v>
      </c>
      <c r="C805" s="120">
        <f>SUM('Darllediadau ac Ar-lein'!$AJ:$AJ)</f>
        <v>0</v>
      </c>
      <c r="D805" s="14"/>
      <c r="E805" s="14"/>
      <c r="F805" s="14"/>
      <c r="G805" s="14"/>
      <c r="H805" s="14"/>
      <c r="I805" s="14"/>
      <c r="J805" s="14"/>
      <c r="K805" s="100"/>
      <c r="L805" s="102"/>
      <c r="M805" s="102"/>
    </row>
    <row r="806" spans="1:13">
      <c r="A806" s="119"/>
      <c r="B806" s="119" t="s">
        <v>725</v>
      </c>
      <c r="C806" s="120">
        <f>SUM('Darllediadau ac Ar-lein'!$AK:$AK)</f>
        <v>0</v>
      </c>
      <c r="D806" s="14"/>
      <c r="E806" s="14"/>
      <c r="F806" s="14"/>
      <c r="G806" s="14"/>
      <c r="H806" s="14"/>
      <c r="I806" s="14"/>
      <c r="J806" s="14"/>
      <c r="K806" s="100"/>
      <c r="L806" s="102"/>
      <c r="M806" s="102"/>
    </row>
    <row r="807" spans="1:13">
      <c r="A807" s="119"/>
      <c r="B807" s="119" t="s">
        <v>726</v>
      </c>
      <c r="C807" s="120">
        <f>SUM('Darllediadau ac Ar-lein'!$AL:$AL)</f>
        <v>0</v>
      </c>
      <c r="D807" s="14"/>
      <c r="E807" s="14"/>
      <c r="F807" s="14"/>
      <c r="G807" s="14"/>
      <c r="H807" s="14"/>
      <c r="I807" s="14"/>
      <c r="J807" s="14"/>
      <c r="K807" s="100"/>
      <c r="L807" s="102"/>
      <c r="M807" s="102"/>
    </row>
    <row r="808" spans="1:13">
      <c r="A808" s="119"/>
      <c r="B808" s="119" t="s">
        <v>727</v>
      </c>
      <c r="C808" s="120">
        <f>SUM('Darllediadau ac Ar-lein'!$AM:$AM)</f>
        <v>0</v>
      </c>
      <c r="D808" s="14"/>
      <c r="E808" s="14"/>
      <c r="F808" s="14"/>
      <c r="G808" s="14"/>
      <c r="H808" s="14"/>
      <c r="I808" s="14"/>
      <c r="J808" s="14"/>
      <c r="K808" s="100"/>
      <c r="L808" s="102"/>
      <c r="M808" s="102"/>
    </row>
    <row r="809" spans="1:13" ht="29">
      <c r="A809" s="119" t="s">
        <v>729</v>
      </c>
      <c r="B809" s="121" t="s">
        <v>730</v>
      </c>
      <c r="C809" s="122">
        <f>COUNTIF('Darllediadau ac Ar-lein'!$AO:$AO,"Yes")</f>
        <v>0</v>
      </c>
      <c r="D809" s="14"/>
      <c r="E809" s="14"/>
      <c r="F809" s="14"/>
      <c r="G809" s="14"/>
      <c r="H809" s="14"/>
      <c r="I809" s="14"/>
      <c r="J809" s="14"/>
      <c r="K809" s="100"/>
      <c r="L809" s="102"/>
      <c r="M809" s="102"/>
    </row>
    <row r="810" spans="1:13" ht="29">
      <c r="A810" s="119"/>
      <c r="B810" s="121" t="s">
        <v>731</v>
      </c>
      <c r="C810" s="122">
        <f>COUNTIF('Darllediadau ac Ar-lein'!$AP:$AP,"Yes")</f>
        <v>0</v>
      </c>
      <c r="D810" s="14"/>
      <c r="E810" s="14"/>
      <c r="F810" s="14"/>
      <c r="G810" s="14"/>
      <c r="H810" s="14"/>
      <c r="I810" s="14"/>
      <c r="J810" s="14"/>
      <c r="K810" s="100"/>
      <c r="L810" s="102"/>
      <c r="M810" s="102"/>
    </row>
    <row r="811" spans="1:13" ht="29">
      <c r="A811" s="119"/>
      <c r="B811" s="121" t="s">
        <v>732</v>
      </c>
      <c r="C811" s="122">
        <f>COUNTIF('Darllediadau ac Ar-lein'!$AQ:$AQ,"Yes")</f>
        <v>0</v>
      </c>
      <c r="D811" s="14"/>
      <c r="E811" s="14"/>
      <c r="F811" s="14"/>
      <c r="G811" s="14"/>
      <c r="H811" s="14"/>
      <c r="I811" s="14"/>
      <c r="J811" s="14"/>
      <c r="K811" s="100"/>
      <c r="L811" s="102"/>
      <c r="M811" s="102"/>
    </row>
    <row r="812" spans="1:13" ht="29">
      <c r="A812" s="119"/>
      <c r="B812" s="121" t="s">
        <v>733</v>
      </c>
      <c r="C812" s="122">
        <f>COUNTIF('Darllediadau ac Ar-lein'!$AR:$AR,"Yes")</f>
        <v>0</v>
      </c>
      <c r="D812" s="14"/>
      <c r="E812" s="14"/>
      <c r="F812" s="14"/>
      <c r="G812" s="14"/>
      <c r="H812" s="14"/>
      <c r="I812" s="14"/>
      <c r="J812" s="14"/>
      <c r="K812" s="100"/>
      <c r="L812" s="102"/>
      <c r="M812" s="102"/>
    </row>
    <row r="813" spans="1:13" ht="29">
      <c r="A813" s="119"/>
      <c r="B813" s="121" t="s">
        <v>734</v>
      </c>
      <c r="C813" s="122">
        <f>COUNTIF('Darllediadau ac Ar-lein'!$AS:$AS,"Yes")</f>
        <v>0</v>
      </c>
      <c r="D813" s="14"/>
      <c r="E813" s="14"/>
      <c r="F813" s="14"/>
      <c r="G813" s="14"/>
      <c r="H813" s="14"/>
      <c r="I813" s="14"/>
      <c r="J813" s="14"/>
      <c r="K813" s="100"/>
      <c r="L813" s="102"/>
      <c r="M813" s="102"/>
    </row>
    <row r="814" spans="1:13" ht="29">
      <c r="A814" s="119"/>
      <c r="B814" s="121" t="s">
        <v>735</v>
      </c>
      <c r="C814" s="122">
        <f>COUNTIF('Darllediadau ac Ar-lein'!$AT:$AT,"Yes")</f>
        <v>0</v>
      </c>
      <c r="D814" s="14"/>
      <c r="E814" s="14"/>
      <c r="F814" s="14"/>
      <c r="G814" s="14"/>
      <c r="H814" s="14"/>
      <c r="I814" s="14"/>
      <c r="J814" s="14"/>
      <c r="K814" s="100"/>
      <c r="L814" s="102"/>
      <c r="M814" s="102"/>
    </row>
    <row r="815" spans="1:13">
      <c r="A815" s="119" t="s">
        <v>174</v>
      </c>
      <c r="B815" s="121" t="s">
        <v>964</v>
      </c>
      <c r="C815" s="122">
        <f>COUNTIF('Darllediadau ac Ar-lein'!$AV:$AV,"Oedd")</f>
        <v>0</v>
      </c>
      <c r="D815" s="14"/>
      <c r="E815" s="14"/>
      <c r="F815" s="14"/>
      <c r="G815" s="14"/>
      <c r="H815" s="14"/>
      <c r="I815" s="14"/>
      <c r="J815" s="14"/>
      <c r="K815" s="100"/>
      <c r="L815" s="102"/>
      <c r="M815" s="102"/>
    </row>
    <row r="816" spans="1:13">
      <c r="A816" s="119"/>
      <c r="B816" s="121" t="s">
        <v>965</v>
      </c>
      <c r="C816" s="122">
        <f>COUNTIF('Darllediadau ac Ar-lein'!$AW:$AW,"Oedd")</f>
        <v>0</v>
      </c>
      <c r="D816" s="14"/>
      <c r="E816" s="14"/>
      <c r="F816" s="14"/>
      <c r="G816" s="14"/>
      <c r="H816" s="14"/>
      <c r="I816" s="14"/>
      <c r="J816" s="14"/>
      <c r="K816" s="100"/>
      <c r="L816" s="102"/>
      <c r="M816" s="102"/>
    </row>
    <row r="817" spans="1:13">
      <c r="A817" s="119"/>
      <c r="B817" s="121" t="s">
        <v>966</v>
      </c>
      <c r="C817" s="122">
        <f>COUNTIF('Darllediadau ac Ar-lein'!$AX:$AX,"Oedd")</f>
        <v>0</v>
      </c>
      <c r="D817" s="14"/>
      <c r="E817" s="14"/>
      <c r="F817" s="14"/>
      <c r="G817" s="14"/>
      <c r="H817" s="14"/>
      <c r="I817" s="14"/>
      <c r="J817" s="14"/>
      <c r="K817" s="100"/>
      <c r="L817" s="102"/>
      <c r="M817" s="102"/>
    </row>
    <row r="818" spans="1:13">
      <c r="A818" s="119"/>
      <c r="B818" s="121" t="s">
        <v>967</v>
      </c>
      <c r="C818" s="122">
        <f>COUNTIF('Darllediadau ac Ar-lein'!$AY:$AY,"Oedd")</f>
        <v>0</v>
      </c>
      <c r="D818" s="14"/>
      <c r="E818" s="14"/>
      <c r="F818" s="14"/>
      <c r="G818" s="14"/>
      <c r="H818" s="14"/>
      <c r="I818" s="14"/>
      <c r="J818" s="14"/>
      <c r="K818" s="100"/>
      <c r="L818" s="102"/>
      <c r="M818" s="102"/>
    </row>
    <row r="819" spans="1:13">
      <c r="A819" s="119"/>
      <c r="B819" s="121" t="s">
        <v>968</v>
      </c>
      <c r="C819" s="122">
        <f>COUNTIF('Darllediadau ac Ar-lein'!$AZ:$AZ,"Oedd")</f>
        <v>0</v>
      </c>
      <c r="D819" s="14"/>
      <c r="E819" s="14"/>
      <c r="F819" s="14"/>
      <c r="G819" s="14"/>
      <c r="H819" s="14"/>
      <c r="I819" s="14"/>
      <c r="J819" s="14"/>
      <c r="K819" s="100"/>
      <c r="L819" s="102"/>
      <c r="M819" s="102"/>
    </row>
    <row r="820" spans="1:13">
      <c r="A820" s="119"/>
      <c r="B820" s="121" t="s">
        <v>969</v>
      </c>
      <c r="C820" s="122">
        <f>COUNTIF('Darllediadau ac Ar-lein'!$BA:$BA,"Oedd")</f>
        <v>0</v>
      </c>
      <c r="D820" s="14"/>
      <c r="E820" s="14"/>
      <c r="F820" s="14"/>
      <c r="G820" s="14"/>
      <c r="H820" s="14"/>
      <c r="I820" s="14"/>
      <c r="J820" s="14"/>
      <c r="K820" s="100"/>
      <c r="L820" s="102"/>
      <c r="M820" s="102"/>
    </row>
    <row r="821" spans="1:13" ht="29">
      <c r="A821" s="121" t="s">
        <v>736</v>
      </c>
      <c r="B821" s="121" t="s">
        <v>737</v>
      </c>
      <c r="C821" s="120">
        <f>SUM('Darllediadau ac Ar-lein'!$BB:$BB)</f>
        <v>0</v>
      </c>
      <c r="D821" s="14"/>
      <c r="E821" s="14"/>
      <c r="F821" s="14"/>
      <c r="G821" s="14"/>
      <c r="H821" s="14"/>
      <c r="I821" s="14"/>
      <c r="J821" s="14"/>
      <c r="K821" s="100"/>
      <c r="L821" s="102"/>
      <c r="M821" s="102"/>
    </row>
    <row r="822" spans="1:13">
      <c r="A822" s="119"/>
      <c r="B822" s="121" t="s">
        <v>738</v>
      </c>
      <c r="C822" s="120">
        <f>SUM('Darllediadau ac Ar-lein'!$BC:$BC)</f>
        <v>0</v>
      </c>
      <c r="D822" s="14"/>
      <c r="E822" s="14"/>
      <c r="F822" s="14"/>
      <c r="G822" s="14"/>
      <c r="H822" s="14"/>
      <c r="I822" s="14"/>
      <c r="J822" s="14"/>
      <c r="K822" s="100"/>
      <c r="L822" s="102"/>
      <c r="M822" s="102"/>
    </row>
    <row r="823" spans="1:13">
      <c r="A823" s="119"/>
      <c r="B823" s="121" t="s">
        <v>739</v>
      </c>
      <c r="C823" s="120">
        <f>SUM('Darllediadau ac Ar-lein'!$BD:$BD)</f>
        <v>0</v>
      </c>
      <c r="D823" s="14"/>
      <c r="E823" s="14"/>
      <c r="F823" s="14"/>
      <c r="G823" s="14"/>
      <c r="H823" s="14"/>
      <c r="I823" s="14"/>
      <c r="J823" s="14"/>
      <c r="K823" s="100"/>
      <c r="L823" s="102"/>
      <c r="M823" s="102"/>
    </row>
    <row r="824" spans="1:13">
      <c r="A824" s="119" t="s">
        <v>740</v>
      </c>
      <c r="B824" s="121" t="s">
        <v>491</v>
      </c>
      <c r="C824" s="120">
        <f>COUNTIF('Darllediadau ac Ar-lein'!$BE:$BE,"do")</f>
        <v>0</v>
      </c>
      <c r="D824" s="14"/>
      <c r="E824" s="14"/>
      <c r="F824" s="14"/>
      <c r="G824" s="14"/>
      <c r="H824" s="14"/>
      <c r="I824" s="14"/>
      <c r="J824" s="14"/>
      <c r="K824" s="100"/>
      <c r="L824" s="102"/>
      <c r="M824" s="102"/>
    </row>
    <row r="825" spans="1:13">
      <c r="A825" s="119"/>
      <c r="B825" s="121" t="s">
        <v>585</v>
      </c>
      <c r="C825" s="120">
        <f>COUNTIF('Darllediadau ac Ar-lein'!$BF:$BF,"do")</f>
        <v>0</v>
      </c>
      <c r="D825" s="14"/>
      <c r="E825" s="14"/>
      <c r="F825" s="14"/>
      <c r="G825" s="14"/>
      <c r="H825" s="14"/>
      <c r="I825" s="14"/>
      <c r="J825" s="14"/>
      <c r="K825" s="100"/>
      <c r="L825" s="102"/>
      <c r="M825" s="102"/>
    </row>
    <row r="826" spans="1:13">
      <c r="A826" s="119"/>
      <c r="B826" s="121" t="s">
        <v>586</v>
      </c>
      <c r="C826" s="120">
        <f>COUNTIF('Darllediadau ac Ar-lein'!$BG:$BG,"do")</f>
        <v>0</v>
      </c>
      <c r="D826" s="14"/>
      <c r="E826" s="14"/>
      <c r="F826" s="14"/>
      <c r="G826" s="14"/>
      <c r="H826" s="14"/>
      <c r="I826" s="14"/>
      <c r="J826" s="14"/>
      <c r="K826" s="100"/>
      <c r="L826" s="102"/>
      <c r="M826" s="102"/>
    </row>
    <row r="827" spans="1:13">
      <c r="A827" s="119"/>
      <c r="B827" s="121" t="s">
        <v>90</v>
      </c>
      <c r="C827" s="120">
        <f>COUNTIF('Darllediadau ac Ar-lein'!$BH:$BH,"do")</f>
        <v>0</v>
      </c>
      <c r="D827" s="14"/>
      <c r="E827" s="14"/>
      <c r="F827" s="14"/>
      <c r="G827" s="14"/>
      <c r="H827" s="14"/>
      <c r="I827" s="14"/>
      <c r="J827" s="14"/>
      <c r="K827" s="100"/>
      <c r="L827" s="102"/>
      <c r="M827" s="102"/>
    </row>
    <row r="828" spans="1:13">
      <c r="A828" s="119"/>
      <c r="B828" s="121" t="s">
        <v>587</v>
      </c>
      <c r="C828" s="120">
        <f>COUNTIF('Darllediadau ac Ar-lein'!$BI:$BI,"do")</f>
        <v>0</v>
      </c>
      <c r="D828" s="14"/>
      <c r="E828" s="14"/>
      <c r="F828" s="14"/>
      <c r="G828" s="14"/>
      <c r="H828" s="14"/>
      <c r="I828" s="14"/>
      <c r="J828" s="14"/>
      <c r="K828" s="100"/>
      <c r="L828" s="102"/>
      <c r="M828" s="102"/>
    </row>
    <row r="829" spans="1:13">
      <c r="A829" s="119"/>
      <c r="B829" s="121" t="s">
        <v>588</v>
      </c>
      <c r="C829" s="120">
        <f>COUNTIF('Darllediadau ac Ar-lein'!$BJ:$BJ,"do")</f>
        <v>0</v>
      </c>
      <c r="D829" s="14"/>
      <c r="E829" s="14"/>
      <c r="F829" s="14"/>
      <c r="G829" s="14"/>
      <c r="H829" s="14"/>
      <c r="I829" s="14"/>
      <c r="J829" s="14"/>
      <c r="K829" s="100"/>
      <c r="L829" s="102"/>
      <c r="M829" s="102"/>
    </row>
    <row r="830" spans="1:13">
      <c r="A830" s="119"/>
      <c r="B830" s="121" t="s">
        <v>589</v>
      </c>
      <c r="C830" s="120">
        <f>COUNTIF('Darllediadau ac Ar-lein'!$BK:$BK,"do")</f>
        <v>0</v>
      </c>
      <c r="D830" s="14"/>
      <c r="E830" s="14"/>
      <c r="F830" s="14"/>
      <c r="G830" s="14"/>
      <c r="H830" s="14"/>
      <c r="I830" s="14"/>
      <c r="J830" s="14"/>
      <c r="K830" s="100"/>
      <c r="L830" s="102"/>
      <c r="M830" s="102"/>
    </row>
    <row r="831" spans="1:13">
      <c r="A831" s="119"/>
      <c r="B831" s="121" t="s">
        <v>590</v>
      </c>
      <c r="C831" s="120">
        <f>COUNTIF('Darllediadau ac Ar-lein'!$BL:$BL,"do")</f>
        <v>0</v>
      </c>
      <c r="D831" s="14"/>
      <c r="E831" s="14"/>
      <c r="F831" s="14"/>
      <c r="G831" s="14"/>
      <c r="H831" s="14"/>
      <c r="I831" s="14"/>
      <c r="J831" s="14"/>
      <c r="K831" s="100"/>
      <c r="L831" s="102"/>
      <c r="M831" s="102"/>
    </row>
    <row r="832" spans="1:13">
      <c r="A832" s="119"/>
      <c r="B832" s="121" t="s">
        <v>96</v>
      </c>
      <c r="C832" s="120">
        <f>COUNTIF('Darllediadau ac Ar-lein'!$BM:$BM,"do")</f>
        <v>0</v>
      </c>
      <c r="D832" s="14"/>
      <c r="E832" s="14"/>
      <c r="F832" s="14"/>
      <c r="G832" s="14"/>
      <c r="H832" s="14"/>
      <c r="I832" s="14"/>
      <c r="J832" s="14"/>
      <c r="K832" s="100"/>
      <c r="L832" s="102"/>
      <c r="M832" s="102"/>
    </row>
    <row r="833" spans="1:13">
      <c r="A833" s="119"/>
      <c r="B833" s="121" t="s">
        <v>97</v>
      </c>
      <c r="C833" s="120">
        <f>COUNTIF('Darllediadau ac Ar-lein'!$BN:$BN,"do")</f>
        <v>0</v>
      </c>
      <c r="D833" s="14"/>
      <c r="E833" s="14"/>
      <c r="F833" s="14"/>
      <c r="G833" s="14"/>
      <c r="H833" s="14"/>
      <c r="I833" s="14"/>
      <c r="J833" s="14"/>
      <c r="K833" s="100"/>
      <c r="L833" s="102"/>
      <c r="M833" s="102"/>
    </row>
    <row r="834" spans="1:13">
      <c r="A834" s="119" t="s">
        <v>741</v>
      </c>
      <c r="B834" s="121" t="s">
        <v>593</v>
      </c>
      <c r="C834" s="120">
        <f>COUNTIF('Darllediadau ac Ar-lein'!$BO:$BO,"do")</f>
        <v>0</v>
      </c>
      <c r="D834" s="14"/>
      <c r="E834" s="14"/>
      <c r="F834" s="14"/>
      <c r="G834" s="14"/>
      <c r="H834" s="14"/>
      <c r="I834" s="14"/>
      <c r="J834" s="14"/>
      <c r="K834" s="100"/>
      <c r="L834" s="102"/>
      <c r="M834" s="102"/>
    </row>
    <row r="835" spans="1:13">
      <c r="A835" s="119"/>
      <c r="B835" s="121" t="s">
        <v>594</v>
      </c>
      <c r="C835" s="120">
        <f>COUNTIF('Darllediadau ac Ar-lein'!$BP:$BP,"do")</f>
        <v>0</v>
      </c>
      <c r="D835" s="14"/>
      <c r="E835" s="14"/>
      <c r="F835" s="14"/>
      <c r="G835" s="14"/>
      <c r="H835" s="14"/>
      <c r="I835" s="14"/>
      <c r="J835" s="14"/>
      <c r="K835" s="100"/>
      <c r="L835" s="102"/>
      <c r="M835" s="102"/>
    </row>
    <row r="836" spans="1:13">
      <c r="A836" s="119"/>
      <c r="B836" s="121" t="s">
        <v>595</v>
      </c>
      <c r="C836" s="120">
        <f>COUNTIF('Darllediadau ac Ar-lein'!$BQ:$BQ,"do")</f>
        <v>0</v>
      </c>
      <c r="D836" s="14"/>
      <c r="E836" s="14"/>
      <c r="F836" s="14"/>
      <c r="G836" s="14"/>
      <c r="H836" s="14"/>
      <c r="I836" s="14"/>
      <c r="J836" s="14"/>
      <c r="K836" s="100"/>
      <c r="L836" s="102"/>
      <c r="M836" s="102"/>
    </row>
    <row r="837" spans="1:13">
      <c r="A837" s="119"/>
      <c r="B837" s="121" t="s">
        <v>596</v>
      </c>
      <c r="C837" s="120">
        <f>COUNTIF('Darllediadau ac Ar-lein'!$BR:$BR,"do")</f>
        <v>0</v>
      </c>
      <c r="D837" s="14"/>
      <c r="E837" s="14"/>
      <c r="F837" s="14"/>
      <c r="G837" s="14"/>
      <c r="H837" s="14"/>
      <c r="I837" s="14"/>
      <c r="J837" s="14"/>
      <c r="K837" s="100"/>
      <c r="L837" s="102"/>
      <c r="M837" s="102"/>
    </row>
    <row r="838" spans="1:13">
      <c r="A838" s="119"/>
      <c r="B838" s="121" t="s">
        <v>597</v>
      </c>
      <c r="C838" s="120">
        <f>COUNTIF('Darllediadau ac Ar-lein'!$BS:$BS,"do")</f>
        <v>0</v>
      </c>
      <c r="D838" s="14"/>
      <c r="E838" s="14"/>
      <c r="F838" s="14"/>
      <c r="G838" s="14"/>
      <c r="H838" s="14"/>
      <c r="I838" s="14"/>
      <c r="J838" s="14"/>
      <c r="K838" s="100"/>
      <c r="L838" s="102"/>
      <c r="M838" s="102"/>
    </row>
    <row r="839" spans="1:13" ht="29">
      <c r="A839" s="119"/>
      <c r="B839" s="121" t="s">
        <v>598</v>
      </c>
      <c r="C839" s="120">
        <f>COUNTIF('Darllediadau ac Ar-lein'!$BT:$BT,"do")</f>
        <v>0</v>
      </c>
      <c r="D839" s="14"/>
      <c r="E839" s="14"/>
      <c r="F839" s="14"/>
      <c r="G839" s="14"/>
      <c r="H839" s="14"/>
      <c r="I839" s="14"/>
      <c r="J839" s="14"/>
      <c r="K839" s="100"/>
      <c r="L839" s="102"/>
      <c r="M839" s="102"/>
    </row>
    <row r="840" spans="1:13" ht="16">
      <c r="A840" s="90"/>
      <c r="B840" s="90"/>
      <c r="C840" s="90"/>
      <c r="D840" s="14"/>
      <c r="E840" s="14"/>
      <c r="F840" s="14"/>
      <c r="G840" s="14"/>
      <c r="H840" s="14"/>
      <c r="I840" s="14"/>
      <c r="J840" s="14"/>
      <c r="K840" s="100"/>
      <c r="L840" s="102"/>
      <c r="M840" s="102"/>
    </row>
    <row r="841" spans="1:13" ht="15">
      <c r="A841" s="123" t="s">
        <v>517</v>
      </c>
      <c r="B841" s="123"/>
      <c r="C841" s="123"/>
      <c r="D841" s="156"/>
      <c r="E841" s="14"/>
      <c r="F841" s="14"/>
      <c r="G841" s="14"/>
      <c r="H841" s="14"/>
      <c r="I841" s="14"/>
      <c r="J841" s="14"/>
      <c r="K841" s="100"/>
      <c r="L841" s="102"/>
      <c r="M841" s="102"/>
    </row>
    <row r="842" spans="1:13" ht="15">
      <c r="A842" s="123" t="s">
        <v>742</v>
      </c>
      <c r="B842" s="123" t="s">
        <v>743</v>
      </c>
      <c r="C842" s="124">
        <f>SUM('Gwefan&amp;Chyfryngau Cymdeithasol'!$B:$B)</f>
        <v>0</v>
      </c>
      <c r="D842" s="156"/>
      <c r="E842" s="14"/>
      <c r="F842" s="14"/>
      <c r="G842" s="14"/>
      <c r="H842" s="14"/>
      <c r="I842" s="14"/>
      <c r="J842" s="14"/>
      <c r="K842" s="100"/>
      <c r="L842" s="102"/>
      <c r="M842" s="102"/>
    </row>
    <row r="843" spans="1:13" ht="15">
      <c r="A843" s="123"/>
      <c r="B843" s="123" t="s">
        <v>744</v>
      </c>
      <c r="C843" s="124">
        <f>SUM('Gwefan&amp;Chyfryngau Cymdeithasol'!$C:$C)</f>
        <v>0</v>
      </c>
      <c r="D843" s="156"/>
      <c r="E843" s="14"/>
      <c r="F843" s="14"/>
      <c r="G843" s="14"/>
      <c r="H843" s="14"/>
      <c r="I843" s="14"/>
      <c r="J843" s="14"/>
      <c r="K843" s="100"/>
      <c r="L843" s="102"/>
      <c r="M843" s="102"/>
    </row>
    <row r="844" spans="1:13" ht="15">
      <c r="A844" s="123" t="s">
        <v>745</v>
      </c>
      <c r="B844" s="125" t="s">
        <v>212</v>
      </c>
      <c r="C844" s="126">
        <f>COUNTIF('Gwefan&amp;Chyfryngau Cymdeithasol'!$E:$E,"Ie")</f>
        <v>0</v>
      </c>
      <c r="D844" s="156"/>
      <c r="E844" s="14"/>
      <c r="F844" s="14"/>
      <c r="G844" s="14"/>
      <c r="H844" s="14"/>
      <c r="I844" s="14"/>
      <c r="J844" s="14"/>
      <c r="K844" s="100"/>
      <c r="L844" s="102"/>
      <c r="M844" s="102"/>
    </row>
    <row r="845" spans="1:13" ht="15">
      <c r="A845" s="123"/>
      <c r="B845" s="125" t="s">
        <v>213</v>
      </c>
      <c r="C845" s="126">
        <f>COUNTIF('Gwefan&amp;Chyfryngau Cymdeithasol'!$F:$F,"Ie")</f>
        <v>0</v>
      </c>
      <c r="D845" s="156"/>
      <c r="E845" s="14"/>
      <c r="F845" s="14"/>
      <c r="G845" s="14"/>
      <c r="H845" s="14"/>
      <c r="I845" s="14"/>
      <c r="J845" s="14"/>
      <c r="K845" s="100"/>
      <c r="L845" s="102"/>
      <c r="M845" s="102"/>
    </row>
    <row r="846" spans="1:13" ht="15">
      <c r="A846" s="123"/>
      <c r="B846" s="125" t="s">
        <v>214</v>
      </c>
      <c r="C846" s="126">
        <f>COUNTIF('Gwefan&amp;Chyfryngau Cymdeithasol'!$G:$G,"Ie")</f>
        <v>0</v>
      </c>
      <c r="D846" s="156"/>
      <c r="E846" s="14"/>
      <c r="F846" s="14"/>
      <c r="G846" s="14"/>
      <c r="H846" s="14"/>
      <c r="I846" s="14"/>
      <c r="J846" s="14"/>
      <c r="K846" s="100"/>
      <c r="L846" s="102"/>
      <c r="M846" s="102"/>
    </row>
    <row r="847" spans="1:13" ht="15">
      <c r="A847" s="123"/>
      <c r="B847" s="125" t="s">
        <v>215</v>
      </c>
      <c r="C847" s="126">
        <f>COUNTIF('Gwefan&amp;Chyfryngau Cymdeithasol'!$H:$H,"Ie")</f>
        <v>0</v>
      </c>
      <c r="D847" s="156"/>
      <c r="E847" s="14"/>
      <c r="F847" s="14"/>
      <c r="G847" s="14"/>
      <c r="H847" s="14"/>
      <c r="I847" s="14"/>
      <c r="J847" s="14"/>
      <c r="K847" s="100"/>
      <c r="L847" s="102"/>
      <c r="M847" s="102"/>
    </row>
    <row r="848" spans="1:13" ht="18" customHeight="1">
      <c r="A848" s="123"/>
      <c r="B848" s="125" t="s">
        <v>746</v>
      </c>
      <c r="C848" s="126">
        <f>COUNTIF('Gwefan&amp;Chyfryngau Cymdeithasol'!$I:$I,"Ie")</f>
        <v>0</v>
      </c>
      <c r="D848" s="156"/>
      <c r="E848" s="14"/>
      <c r="F848" s="14"/>
      <c r="G848" s="14"/>
      <c r="H848" s="14"/>
      <c r="I848" s="14"/>
      <c r="J848" s="14"/>
      <c r="K848" s="100"/>
      <c r="L848" s="102"/>
      <c r="M848" s="102"/>
    </row>
    <row r="849" spans="1:13" ht="15">
      <c r="A849" s="123"/>
      <c r="B849" s="125" t="s">
        <v>747</v>
      </c>
      <c r="C849" s="126">
        <f>COUNTIF('Gwefan&amp;Chyfryngau Cymdeithasol'!$J:$J,"Ie")</f>
        <v>0</v>
      </c>
      <c r="D849" s="156"/>
      <c r="E849" s="14"/>
      <c r="F849" s="14"/>
      <c r="G849" s="14"/>
      <c r="H849" s="14"/>
      <c r="I849" s="14"/>
      <c r="J849" s="14"/>
      <c r="K849" s="100"/>
      <c r="L849" s="102"/>
      <c r="M849" s="102"/>
    </row>
    <row r="850" spans="1:13" ht="15">
      <c r="A850" s="123"/>
      <c r="B850" s="125" t="s">
        <v>748</v>
      </c>
      <c r="C850" s="126">
        <f>COUNTIF('Gwefan&amp;Chyfryngau Cymdeithasol'!$K:$K,"Ie")</f>
        <v>0</v>
      </c>
      <c r="D850" s="156"/>
      <c r="E850" s="14"/>
      <c r="F850" s="14"/>
      <c r="G850" s="14"/>
      <c r="H850" s="14"/>
      <c r="I850" s="14"/>
      <c r="J850" s="14"/>
      <c r="K850" s="100"/>
      <c r="L850" s="102"/>
      <c r="M850" s="102"/>
    </row>
    <row r="851" spans="1:13" ht="15">
      <c r="A851" s="123"/>
      <c r="B851" s="125" t="s">
        <v>749</v>
      </c>
      <c r="C851" s="126">
        <f>COUNTIF('Gwefan&amp;Chyfryngau Cymdeithasol'!$L:$L,"Ie")</f>
        <v>0</v>
      </c>
      <c r="D851" s="156"/>
      <c r="E851" s="14"/>
      <c r="F851" s="14"/>
      <c r="G851" s="14"/>
      <c r="H851" s="14"/>
      <c r="I851" s="14"/>
      <c r="J851" s="14"/>
      <c r="K851" s="100"/>
      <c r="L851" s="102"/>
      <c r="M851" s="102"/>
    </row>
    <row r="852" spans="1:13" ht="15">
      <c r="A852" s="123"/>
      <c r="B852" s="125" t="s">
        <v>750</v>
      </c>
      <c r="C852" s="126">
        <f>COUNTIF('Gwefan&amp;Chyfryngau Cymdeithasol'!$M:$M,"Ie")</f>
        <v>0</v>
      </c>
      <c r="D852" s="14"/>
      <c r="E852" s="14"/>
      <c r="F852" s="14"/>
      <c r="G852" s="14"/>
      <c r="H852" s="14"/>
      <c r="I852" s="14"/>
      <c r="J852" s="14"/>
      <c r="K852" s="100"/>
      <c r="L852" s="102"/>
      <c r="M852" s="102"/>
    </row>
    <row r="853" spans="1:13" ht="15">
      <c r="A853" s="123"/>
      <c r="B853" s="125" t="s">
        <v>751</v>
      </c>
      <c r="C853" s="126">
        <f>COUNTIF('Gwefan&amp;Chyfryngau Cymdeithasol'!$N:$N,"Ie")</f>
        <v>0</v>
      </c>
      <c r="D853" s="156"/>
      <c r="E853" s="14"/>
      <c r="F853" s="14"/>
      <c r="G853" s="14"/>
      <c r="H853" s="14"/>
      <c r="I853" s="14"/>
      <c r="J853" s="14"/>
      <c r="K853" s="100"/>
      <c r="L853" s="102"/>
      <c r="M853" s="102"/>
    </row>
    <row r="854" spans="1:13" ht="15">
      <c r="A854" s="123"/>
      <c r="B854" s="125" t="s">
        <v>222</v>
      </c>
      <c r="C854" s="126">
        <f>COUNTIF('Gwefan&amp;Chyfryngau Cymdeithasol'!$O:$O,"&lt;&gt;")-1</f>
        <v>0</v>
      </c>
      <c r="D854" s="156"/>
      <c r="E854" s="14"/>
      <c r="F854" s="14"/>
      <c r="G854" s="14"/>
      <c r="H854" s="14"/>
      <c r="I854" s="14"/>
      <c r="J854" s="14"/>
      <c r="K854" s="100"/>
      <c r="L854" s="102"/>
      <c r="M854" s="102"/>
    </row>
    <row r="855" spans="1:13" ht="29">
      <c r="A855" s="127" t="s">
        <v>752</v>
      </c>
      <c r="B855" s="125" t="s">
        <v>212</v>
      </c>
      <c r="C855" s="126">
        <f>SUM('Gwefan&amp;Chyfryngau Cymdeithasol'!$P:$P)</f>
        <v>0</v>
      </c>
      <c r="D855" s="156"/>
      <c r="E855" s="14"/>
      <c r="F855" s="14"/>
      <c r="G855" s="14"/>
      <c r="H855" s="14"/>
      <c r="I855" s="14"/>
      <c r="J855" s="14"/>
      <c r="K855" s="100"/>
      <c r="L855" s="102"/>
      <c r="M855" s="102"/>
    </row>
    <row r="856" spans="1:13" ht="15">
      <c r="A856" s="123"/>
      <c r="B856" s="125" t="s">
        <v>213</v>
      </c>
      <c r="C856" s="126">
        <f>SUM('Gwefan&amp;Chyfryngau Cymdeithasol'!$Q:$Q)</f>
        <v>0</v>
      </c>
      <c r="D856" s="156"/>
      <c r="E856" s="14"/>
      <c r="F856" s="14"/>
      <c r="G856" s="14"/>
      <c r="H856" s="14"/>
      <c r="I856" s="14"/>
      <c r="J856" s="14"/>
      <c r="K856" s="100"/>
      <c r="L856" s="102"/>
      <c r="M856" s="102"/>
    </row>
    <row r="857" spans="1:13" ht="15">
      <c r="A857" s="123"/>
      <c r="B857" s="125" t="s">
        <v>214</v>
      </c>
      <c r="C857" s="126">
        <f>SUM('Gwefan&amp;Chyfryngau Cymdeithasol'!$R:$R)</f>
        <v>0</v>
      </c>
      <c r="D857" s="156"/>
      <c r="E857" s="14"/>
      <c r="F857" s="14"/>
      <c r="G857" s="14"/>
      <c r="H857" s="14"/>
      <c r="I857" s="14"/>
      <c r="J857" s="14"/>
      <c r="K857" s="100"/>
      <c r="L857" s="102"/>
      <c r="M857" s="102"/>
    </row>
    <row r="858" spans="1:13" ht="15">
      <c r="A858" s="123"/>
      <c r="B858" s="125" t="s">
        <v>215</v>
      </c>
      <c r="C858" s="126">
        <f>SUM('Gwefan&amp;Chyfryngau Cymdeithasol'!$S:$S)</f>
        <v>0</v>
      </c>
      <c r="D858" s="156"/>
      <c r="E858" s="14"/>
      <c r="F858" s="14"/>
      <c r="G858" s="14"/>
      <c r="H858" s="14"/>
      <c r="I858" s="14"/>
      <c r="J858" s="14"/>
      <c r="K858" s="100"/>
      <c r="L858" s="102"/>
      <c r="M858" s="102"/>
    </row>
    <row r="859" spans="1:13" ht="30">
      <c r="A859" s="123"/>
      <c r="B859" s="125" t="s">
        <v>746</v>
      </c>
      <c r="C859" s="126">
        <f>SUM('Gwefan&amp;Chyfryngau Cymdeithasol'!$T:$T)</f>
        <v>0</v>
      </c>
      <c r="D859" s="156"/>
      <c r="E859" s="14"/>
      <c r="F859" s="14"/>
      <c r="G859" s="14"/>
      <c r="H859" s="14"/>
      <c r="I859" s="14"/>
      <c r="J859" s="14"/>
      <c r="K859" s="100"/>
      <c r="L859" s="102"/>
      <c r="M859" s="102"/>
    </row>
    <row r="860" spans="1:13" ht="15">
      <c r="A860" s="123"/>
      <c r="B860" s="125" t="s">
        <v>747</v>
      </c>
      <c r="C860" s="126">
        <f>SUM('Gwefan&amp;Chyfryngau Cymdeithasol'!$U:$U)</f>
        <v>0</v>
      </c>
      <c r="D860" s="156"/>
      <c r="E860" s="14"/>
      <c r="F860" s="14"/>
      <c r="G860" s="14"/>
      <c r="H860" s="14"/>
      <c r="I860" s="14"/>
      <c r="J860" s="14"/>
      <c r="K860" s="100"/>
      <c r="L860" s="102"/>
      <c r="M860" s="102"/>
    </row>
    <row r="861" spans="1:13" ht="15">
      <c r="A861" s="123"/>
      <c r="B861" s="125" t="s">
        <v>748</v>
      </c>
      <c r="C861" s="126">
        <f>SUM('Gwefan&amp;Chyfryngau Cymdeithasol'!$V:$V)</f>
        <v>0</v>
      </c>
      <c r="D861" s="156"/>
      <c r="E861" s="14"/>
      <c r="F861" s="14"/>
      <c r="G861" s="14"/>
      <c r="H861" s="14"/>
      <c r="I861" s="14"/>
      <c r="J861" s="14"/>
      <c r="K861" s="100"/>
      <c r="L861" s="102"/>
      <c r="M861" s="102"/>
    </row>
    <row r="862" spans="1:13" ht="15">
      <c r="A862" s="123"/>
      <c r="B862" s="125" t="s">
        <v>749</v>
      </c>
      <c r="C862" s="126">
        <f>SUM('Gwefan&amp;Chyfryngau Cymdeithasol'!$W:$W)</f>
        <v>0</v>
      </c>
      <c r="D862" s="156"/>
      <c r="E862" s="14"/>
      <c r="F862" s="14"/>
      <c r="G862" s="14"/>
      <c r="H862" s="14"/>
      <c r="I862" s="14"/>
      <c r="J862" s="14"/>
      <c r="K862" s="100"/>
      <c r="L862" s="102"/>
      <c r="M862" s="102"/>
    </row>
    <row r="863" spans="1:13" ht="15">
      <c r="A863" s="123"/>
      <c r="B863" s="125" t="s">
        <v>750</v>
      </c>
      <c r="C863" s="126">
        <f>SUM('Gwefan&amp;Chyfryngau Cymdeithasol'!$X:$X)</f>
        <v>0</v>
      </c>
      <c r="D863" s="156"/>
      <c r="E863" s="14"/>
      <c r="F863" s="14"/>
      <c r="G863" s="14"/>
      <c r="H863" s="14"/>
      <c r="I863" s="14"/>
      <c r="J863" s="14"/>
      <c r="K863" s="100"/>
      <c r="L863" s="102"/>
      <c r="M863" s="102"/>
    </row>
    <row r="864" spans="1:13" ht="15">
      <c r="A864" s="123"/>
      <c r="B864" s="125" t="s">
        <v>751</v>
      </c>
      <c r="C864" s="126">
        <f>SUM('Gwefan&amp;Chyfryngau Cymdeithasol'!$Y:$Y)</f>
        <v>0</v>
      </c>
      <c r="D864" s="156"/>
      <c r="E864" s="14"/>
      <c r="F864" s="14"/>
      <c r="G864" s="14"/>
      <c r="H864" s="14"/>
      <c r="I864" s="14"/>
      <c r="J864" s="14"/>
      <c r="K864" s="100"/>
      <c r="L864" s="102"/>
      <c r="M864" s="102"/>
    </row>
    <row r="865" spans="1:13" ht="15">
      <c r="A865" s="123"/>
      <c r="B865" s="125" t="s">
        <v>222</v>
      </c>
      <c r="C865" s="126">
        <f>SUM('Gwefan&amp;Chyfryngau Cymdeithasol'!$Z:$Z)</f>
        <v>0</v>
      </c>
      <c r="D865" s="156"/>
      <c r="E865" s="14"/>
      <c r="F865" s="14"/>
      <c r="G865" s="14"/>
      <c r="H865" s="14"/>
      <c r="I865" s="14"/>
      <c r="J865" s="14"/>
      <c r="K865" s="100"/>
      <c r="L865" s="102"/>
      <c r="M865" s="102"/>
    </row>
    <row r="866" spans="1:13" ht="15">
      <c r="A866" s="123" t="s">
        <v>753</v>
      </c>
      <c r="B866" s="125" t="s">
        <v>754</v>
      </c>
      <c r="C866" s="126">
        <f>COUNTIF('Gwefan&amp;Chyfryngau Cymdeithasol'!$AA:$AA,"Ie")</f>
        <v>0</v>
      </c>
      <c r="D866" s="156"/>
      <c r="E866" s="14"/>
      <c r="F866" s="14"/>
      <c r="G866" s="14"/>
      <c r="H866" s="14"/>
      <c r="I866" s="14"/>
      <c r="J866" s="14"/>
      <c r="K866" s="100"/>
      <c r="L866" s="102"/>
      <c r="M866" s="102"/>
    </row>
    <row r="867" spans="1:13" ht="15">
      <c r="A867" s="123"/>
      <c r="B867" s="125" t="s">
        <v>755</v>
      </c>
      <c r="C867" s="126">
        <f>COUNTIF('Gwefan&amp;Chyfryngau Cymdeithasol'!$AB:$AB,"Ie")</f>
        <v>0</v>
      </c>
      <c r="D867" s="156"/>
      <c r="E867" s="14"/>
      <c r="F867" s="14"/>
      <c r="G867" s="14"/>
      <c r="H867" s="14"/>
      <c r="I867" s="14"/>
      <c r="J867" s="14"/>
      <c r="K867" s="100"/>
      <c r="L867" s="102"/>
      <c r="M867" s="102"/>
    </row>
    <row r="868" spans="1:13" ht="45">
      <c r="A868" s="123"/>
      <c r="B868" s="125" t="s">
        <v>756</v>
      </c>
      <c r="C868" s="126">
        <f>COUNTIF('Gwefan&amp;Chyfryngau Cymdeithasol'!$AC:$AC,"Ie")</f>
        <v>0</v>
      </c>
      <c r="D868" s="156"/>
      <c r="E868" s="14"/>
      <c r="F868" s="14"/>
      <c r="G868" s="14"/>
      <c r="H868" s="14"/>
      <c r="I868" s="14"/>
      <c r="J868" s="14"/>
      <c r="K868" s="100"/>
      <c r="L868" s="102"/>
      <c r="M868" s="102"/>
    </row>
    <row r="869" spans="1:13" ht="15">
      <c r="A869" s="123"/>
      <c r="B869" s="125" t="s">
        <v>757</v>
      </c>
      <c r="C869" s="126">
        <f>COUNTIF('Gwefan&amp;Chyfryngau Cymdeithasol'!$AD:$AD,"Ie")</f>
        <v>0</v>
      </c>
      <c r="D869" s="156"/>
      <c r="E869" s="14"/>
      <c r="F869" s="14"/>
      <c r="G869" s="14"/>
      <c r="H869" s="14"/>
      <c r="I869" s="14"/>
      <c r="J869" s="14"/>
      <c r="K869" s="100"/>
      <c r="L869" s="102"/>
      <c r="M869" s="102"/>
    </row>
    <row r="870" spans="1:13" ht="30">
      <c r="A870" s="123"/>
      <c r="B870" s="125" t="s">
        <v>758</v>
      </c>
      <c r="C870" s="126">
        <f>COUNTIF('Gwefan&amp;Chyfryngau Cymdeithasol'!$AE:$AE,"Ie")</f>
        <v>0</v>
      </c>
      <c r="D870" s="156"/>
      <c r="E870" s="14"/>
      <c r="F870" s="14"/>
      <c r="G870" s="14"/>
      <c r="H870" s="14"/>
      <c r="I870" s="14"/>
      <c r="J870" s="14"/>
      <c r="K870" s="100"/>
      <c r="L870" s="102"/>
      <c r="M870" s="102"/>
    </row>
    <row r="871" spans="1:13" ht="30">
      <c r="A871" s="123"/>
      <c r="B871" s="125" t="s">
        <v>759</v>
      </c>
      <c r="C871" s="126">
        <f>COUNTIF('Gwefan&amp;Chyfryngau Cymdeithasol'!$AF:$AF,"Ie")</f>
        <v>0</v>
      </c>
      <c r="D871" s="14"/>
      <c r="E871" s="14"/>
      <c r="F871" s="14"/>
      <c r="G871" s="14"/>
      <c r="H871" s="14"/>
      <c r="I871" s="14"/>
      <c r="J871" s="14"/>
      <c r="K871" s="100"/>
      <c r="L871" s="102"/>
      <c r="M871" s="102"/>
    </row>
    <row r="872" spans="1:13" ht="30">
      <c r="A872" s="123"/>
      <c r="B872" s="125" t="s">
        <v>760</v>
      </c>
      <c r="C872" s="126">
        <f>COUNTIF('Gwefan&amp;Chyfryngau Cymdeithasol'!$AG:$AG,"Ie")</f>
        <v>0</v>
      </c>
      <c r="D872" s="156"/>
      <c r="E872" s="14"/>
      <c r="F872" s="14"/>
      <c r="G872" s="14"/>
      <c r="H872" s="14"/>
      <c r="I872" s="14"/>
      <c r="J872" s="14"/>
      <c r="K872" s="100"/>
      <c r="L872" s="102"/>
      <c r="M872" s="102"/>
    </row>
    <row r="873" spans="1:13" ht="15">
      <c r="A873" s="123"/>
      <c r="B873" s="125" t="s">
        <v>222</v>
      </c>
      <c r="C873" s="126">
        <f>COUNTIF('Gwefan&amp;Chyfryngau Cymdeithasol'!$AH:$AH,"&lt;&gt;")-1</f>
        <v>0</v>
      </c>
      <c r="D873" s="156"/>
      <c r="E873" s="14"/>
      <c r="F873" s="14"/>
      <c r="G873" s="14"/>
      <c r="H873" s="14"/>
      <c r="I873" s="14"/>
      <c r="J873" s="14"/>
      <c r="K873" s="100"/>
      <c r="L873" s="102"/>
      <c r="M873" s="102"/>
    </row>
    <row r="874" spans="1:13" ht="43.5">
      <c r="A874" s="127" t="s">
        <v>761</v>
      </c>
      <c r="B874" s="127" t="s">
        <v>762</v>
      </c>
      <c r="C874" s="124">
        <f>COUNTIF('Gwefan&amp;Chyfryngau Cymdeithasol'!$AI:$AI,"Yes")</f>
        <v>0</v>
      </c>
      <c r="D874" s="14"/>
      <c r="E874" s="14"/>
      <c r="F874" s="14"/>
      <c r="G874" s="14"/>
      <c r="H874" s="14"/>
      <c r="I874" s="14"/>
      <c r="J874" s="14"/>
      <c r="K874" s="100"/>
      <c r="L874" s="102"/>
      <c r="M874" s="102"/>
    </row>
    <row r="875" spans="1:13">
      <c r="A875" s="123"/>
      <c r="B875" s="127" t="s">
        <v>763</v>
      </c>
      <c r="C875" s="124">
        <f>COUNTIF('Gwefan&amp;Chyfryngau Cymdeithasol'!$AJ:$AJ,"Yes")</f>
        <v>0</v>
      </c>
      <c r="D875" s="14"/>
      <c r="E875" s="14"/>
      <c r="F875" s="14"/>
      <c r="G875" s="14"/>
      <c r="H875" s="14"/>
      <c r="I875" s="14"/>
      <c r="J875" s="14"/>
      <c r="K875" s="100"/>
      <c r="L875" s="102"/>
      <c r="M875" s="102"/>
    </row>
    <row r="876" spans="1:13">
      <c r="A876" s="123"/>
      <c r="B876" s="127" t="s">
        <v>933</v>
      </c>
      <c r="C876" s="124">
        <f>SUM('Gwefan&amp;Chyfryngau Cymdeithasol'!$AK:AK)</f>
        <v>0</v>
      </c>
      <c r="D876" s="14"/>
      <c r="E876" s="14"/>
      <c r="F876" s="14"/>
      <c r="G876" s="14"/>
      <c r="H876" s="14"/>
      <c r="I876" s="14"/>
      <c r="J876" s="14"/>
      <c r="K876" s="100"/>
      <c r="L876" s="102"/>
      <c r="M876" s="102"/>
    </row>
    <row r="877" spans="1:13" ht="29">
      <c r="A877" s="123"/>
      <c r="B877" s="127" t="s">
        <v>472</v>
      </c>
      <c r="C877" s="124">
        <f>SUM('Gwefan&amp;Chyfryngau Cymdeithasol'!$AL:AL)</f>
        <v>0</v>
      </c>
      <c r="D877" s="14"/>
      <c r="E877" s="14"/>
      <c r="F877" s="14"/>
      <c r="G877" s="14"/>
      <c r="H877" s="14"/>
      <c r="I877" s="14"/>
      <c r="J877" s="14"/>
      <c r="K877" s="100"/>
      <c r="L877" s="102"/>
      <c r="M877" s="102"/>
    </row>
    <row r="878" spans="1:13">
      <c r="A878" s="123"/>
      <c r="B878" s="127" t="s">
        <v>241</v>
      </c>
      <c r="C878" s="124">
        <f>SUM('Gwefan&amp;Chyfryngau Cymdeithasol'!$AM:AM)</f>
        <v>0</v>
      </c>
      <c r="D878" s="14"/>
      <c r="E878" s="14"/>
      <c r="F878" s="14"/>
      <c r="G878" s="14"/>
      <c r="H878" s="14"/>
      <c r="I878" s="14"/>
      <c r="J878" s="14"/>
      <c r="K878" s="100"/>
      <c r="L878" s="102"/>
      <c r="M878" s="102"/>
    </row>
    <row r="879" spans="1:13">
      <c r="A879" s="123"/>
      <c r="B879" s="127" t="s">
        <v>764</v>
      </c>
      <c r="C879" s="124">
        <f>'Gwefan&amp;Chyfryngau Cymdeithasol'!AN5</f>
        <v>0</v>
      </c>
      <c r="D879" s="14"/>
      <c r="E879" s="14"/>
      <c r="F879" s="14"/>
      <c r="G879" s="14"/>
      <c r="H879" s="14"/>
      <c r="I879" s="14"/>
      <c r="J879" s="14"/>
      <c r="K879" s="100"/>
      <c r="L879" s="102"/>
      <c r="M879" s="102"/>
    </row>
    <row r="880" spans="1:13" ht="29">
      <c r="A880" s="123"/>
      <c r="B880" s="127" t="s">
        <v>765</v>
      </c>
      <c r="C880" s="124">
        <f>COUNTIF('Gwefan&amp;Chyfryngau Cymdeithasol'!$AO:$AO,"Yes")</f>
        <v>0</v>
      </c>
      <c r="D880" s="14"/>
      <c r="E880" s="14"/>
      <c r="F880" s="14"/>
      <c r="G880" s="14"/>
      <c r="H880" s="14"/>
      <c r="I880" s="14"/>
      <c r="J880" s="14"/>
      <c r="K880" s="100"/>
      <c r="L880" s="102"/>
      <c r="M880" s="102"/>
    </row>
    <row r="881" spans="1:13">
      <c r="A881" s="123"/>
      <c r="B881" s="127" t="s">
        <v>766</v>
      </c>
      <c r="C881" s="124">
        <f>COUNTIF('Gwefan&amp;Chyfryngau Cymdeithasol'!$AP:$AP,"Yes")</f>
        <v>0</v>
      </c>
      <c r="D881" s="14"/>
      <c r="E881" s="14"/>
      <c r="F881" s="14"/>
      <c r="G881" s="14"/>
      <c r="H881" s="14"/>
      <c r="I881" s="14"/>
      <c r="J881" s="14"/>
      <c r="K881" s="100"/>
      <c r="L881" s="102"/>
      <c r="M881" s="102"/>
    </row>
    <row r="882" spans="1:13">
      <c r="A882" s="123"/>
      <c r="B882" s="127" t="s">
        <v>934</v>
      </c>
      <c r="C882" s="124">
        <f>SUM('Gwefan&amp;Chyfryngau Cymdeithasol'!$AQ:AQ)</f>
        <v>0</v>
      </c>
      <c r="D882" s="14"/>
      <c r="E882" s="14"/>
      <c r="F882" s="14"/>
      <c r="G882" s="14"/>
      <c r="H882" s="14"/>
      <c r="I882" s="14"/>
      <c r="J882" s="14"/>
      <c r="K882" s="100"/>
      <c r="L882" s="102"/>
      <c r="M882" s="102"/>
    </row>
    <row r="883" spans="1:13" ht="29">
      <c r="A883" s="123"/>
      <c r="B883" s="127" t="s">
        <v>474</v>
      </c>
      <c r="C883" s="124">
        <f>SUM('Gwefan&amp;Chyfryngau Cymdeithasol'!$AR:AR)</f>
        <v>0</v>
      </c>
      <c r="D883" s="14"/>
      <c r="E883" s="14"/>
      <c r="F883" s="14"/>
      <c r="G883" s="14"/>
      <c r="H883" s="14"/>
      <c r="I883" s="14"/>
      <c r="J883" s="14"/>
      <c r="K883" s="100"/>
      <c r="L883" s="102"/>
      <c r="M883" s="102"/>
    </row>
    <row r="884" spans="1:13">
      <c r="A884" s="123"/>
      <c r="B884" s="127" t="s">
        <v>242</v>
      </c>
      <c r="C884" s="124">
        <f>SUM('Gwefan&amp;Chyfryngau Cymdeithasol'!$AS:AS)</f>
        <v>0</v>
      </c>
      <c r="D884" s="14"/>
      <c r="E884" s="14"/>
      <c r="F884" s="14"/>
      <c r="G884" s="14"/>
      <c r="H884" s="14"/>
      <c r="I884" s="14"/>
      <c r="J884" s="14"/>
      <c r="K884" s="100"/>
      <c r="L884" s="102"/>
      <c r="M884" s="102"/>
    </row>
    <row r="885" spans="1:13">
      <c r="A885" s="123"/>
      <c r="B885" s="127" t="s">
        <v>767</v>
      </c>
      <c r="C885" s="124">
        <f>'Gwefan&amp;Chyfryngau Cymdeithasol'!AT5</f>
        <v>0</v>
      </c>
      <c r="D885" s="14"/>
      <c r="E885" s="14"/>
      <c r="F885" s="14"/>
      <c r="G885" s="14"/>
      <c r="H885" s="14"/>
      <c r="I885" s="14"/>
      <c r="J885" s="14"/>
      <c r="K885" s="100"/>
      <c r="L885" s="102"/>
      <c r="M885" s="102"/>
    </row>
    <row r="886" spans="1:13" ht="29">
      <c r="A886" s="123"/>
      <c r="B886" s="127" t="s">
        <v>768</v>
      </c>
      <c r="C886" s="124">
        <f>COUNTIF('Gwefan&amp;Chyfryngau Cymdeithasol'!$AU:$AU,"Yes")</f>
        <v>0</v>
      </c>
      <c r="D886" s="14"/>
      <c r="E886" s="14"/>
      <c r="F886" s="14"/>
      <c r="G886" s="14"/>
      <c r="H886" s="14"/>
      <c r="I886" s="14"/>
      <c r="J886" s="14"/>
      <c r="K886" s="100"/>
      <c r="L886" s="102"/>
      <c r="M886" s="102"/>
    </row>
    <row r="887" spans="1:13">
      <c r="A887" s="123"/>
      <c r="B887" s="127" t="s">
        <v>769</v>
      </c>
      <c r="C887" s="124">
        <f>COUNTIF('Gwefan&amp;Chyfryngau Cymdeithasol'!$AV:$AV,"Yes")</f>
        <v>0</v>
      </c>
      <c r="D887" s="14"/>
      <c r="E887" s="14"/>
      <c r="F887" s="14"/>
      <c r="G887" s="14"/>
      <c r="H887" s="14"/>
      <c r="I887" s="14"/>
      <c r="J887" s="14"/>
      <c r="K887" s="100"/>
      <c r="L887" s="102"/>
      <c r="M887" s="102"/>
    </row>
    <row r="888" spans="1:13">
      <c r="A888" s="123"/>
      <c r="B888" s="127" t="s">
        <v>935</v>
      </c>
      <c r="C888" s="124">
        <f>SUM('Gwefan&amp;Chyfryngau Cymdeithasol'!$AW:AW)</f>
        <v>0</v>
      </c>
      <c r="D888" s="14"/>
      <c r="E888" s="14"/>
      <c r="F888" s="14"/>
      <c r="G888" s="14"/>
      <c r="H888" s="14"/>
      <c r="I888" s="14"/>
      <c r="J888" s="14"/>
      <c r="K888" s="100"/>
      <c r="L888" s="102"/>
      <c r="M888" s="102"/>
    </row>
    <row r="889" spans="1:13" ht="29">
      <c r="A889" s="123"/>
      <c r="B889" s="127" t="s">
        <v>475</v>
      </c>
      <c r="C889" s="124">
        <f>SUM('Gwefan&amp;Chyfryngau Cymdeithasol'!$AX:AX)</f>
        <v>0</v>
      </c>
      <c r="D889" s="14"/>
      <c r="E889" s="14"/>
      <c r="F889" s="14"/>
      <c r="G889" s="14"/>
      <c r="H889" s="14"/>
      <c r="I889" s="14"/>
      <c r="J889" s="14"/>
      <c r="K889" s="100"/>
      <c r="L889" s="102"/>
      <c r="M889" s="102"/>
    </row>
    <row r="890" spans="1:13">
      <c r="A890" s="123"/>
      <c r="B890" s="127" t="s">
        <v>243</v>
      </c>
      <c r="C890" s="124">
        <f>SUM('Gwefan&amp;Chyfryngau Cymdeithasol'!$AY:AY)</f>
        <v>0</v>
      </c>
      <c r="D890" s="14"/>
      <c r="E890" s="14"/>
      <c r="F890" s="14"/>
      <c r="G890" s="14"/>
      <c r="H890" s="14"/>
      <c r="I890" s="14"/>
      <c r="J890" s="14"/>
      <c r="K890" s="100"/>
      <c r="L890" s="102"/>
      <c r="M890" s="102"/>
    </row>
    <row r="891" spans="1:13">
      <c r="A891" s="123"/>
      <c r="B891" s="127" t="s">
        <v>770</v>
      </c>
      <c r="C891" s="124">
        <f>'Gwefan&amp;Chyfryngau Cymdeithasol'!AZ5</f>
        <v>0</v>
      </c>
      <c r="D891" s="14"/>
      <c r="E891" s="14"/>
      <c r="F891" s="14"/>
      <c r="G891" s="14"/>
      <c r="H891" s="14"/>
      <c r="I891" s="14"/>
      <c r="J891" s="14"/>
      <c r="K891" s="100"/>
      <c r="L891" s="102"/>
      <c r="M891" s="102"/>
    </row>
    <row r="892" spans="1:13" ht="29">
      <c r="A892" s="123"/>
      <c r="B892" s="127" t="s">
        <v>771</v>
      </c>
      <c r="C892" s="124">
        <f>COUNTIF('Gwefan&amp;Chyfryngau Cymdeithasol'!$BA:$BA,"Yes")</f>
        <v>0</v>
      </c>
      <c r="D892" s="14"/>
      <c r="E892" s="14"/>
      <c r="F892" s="14"/>
      <c r="G892" s="14"/>
      <c r="H892" s="14"/>
      <c r="I892" s="14"/>
      <c r="J892" s="14"/>
      <c r="K892" s="100"/>
      <c r="L892" s="102"/>
      <c r="M892" s="102"/>
    </row>
    <row r="893" spans="1:13">
      <c r="A893" s="123"/>
      <c r="B893" s="127" t="s">
        <v>772</v>
      </c>
      <c r="C893" s="124">
        <f>COUNTIF('Gwefan&amp;Chyfryngau Cymdeithasol'!$BB:$BB,"Yes")</f>
        <v>0</v>
      </c>
      <c r="D893" s="14"/>
      <c r="E893" s="14"/>
      <c r="F893" s="14"/>
      <c r="G893" s="14"/>
      <c r="H893" s="14"/>
      <c r="I893" s="14"/>
      <c r="J893" s="14"/>
      <c r="K893" s="100"/>
      <c r="L893" s="102"/>
      <c r="M893" s="102"/>
    </row>
    <row r="894" spans="1:13">
      <c r="A894" s="123"/>
      <c r="B894" s="127" t="s">
        <v>936</v>
      </c>
      <c r="C894" s="124">
        <f>SUM('Gwefan&amp;Chyfryngau Cymdeithasol'!$BC:BC)</f>
        <v>0</v>
      </c>
      <c r="D894" s="14"/>
      <c r="E894" s="14"/>
      <c r="F894" s="14"/>
      <c r="G894" s="14"/>
      <c r="H894" s="14"/>
      <c r="I894" s="14"/>
      <c r="J894" s="14"/>
      <c r="K894" s="100"/>
      <c r="L894" s="102"/>
      <c r="M894" s="102"/>
    </row>
    <row r="895" spans="1:13" ht="29">
      <c r="A895" s="123"/>
      <c r="B895" s="127" t="s">
        <v>476</v>
      </c>
      <c r="C895" s="124">
        <f>SUM('Gwefan&amp;Chyfryngau Cymdeithasol'!$BD:BD)</f>
        <v>0</v>
      </c>
      <c r="D895" s="14"/>
      <c r="E895" s="14"/>
      <c r="F895" s="14"/>
      <c r="G895" s="14"/>
      <c r="H895" s="14"/>
      <c r="I895" s="14"/>
      <c r="J895" s="14"/>
      <c r="K895" s="100"/>
      <c r="L895" s="102"/>
      <c r="M895" s="102"/>
    </row>
    <row r="896" spans="1:13">
      <c r="A896" s="123"/>
      <c r="B896" s="127" t="s">
        <v>937</v>
      </c>
      <c r="C896" s="124">
        <f>SUM('Gwefan&amp;Chyfryngau Cymdeithasol'!$BE:BE)</f>
        <v>0</v>
      </c>
      <c r="D896" s="14"/>
      <c r="E896" s="14"/>
      <c r="F896" s="14"/>
      <c r="G896" s="14"/>
      <c r="H896" s="14"/>
      <c r="I896" s="14"/>
      <c r="J896" s="14"/>
      <c r="K896" s="100"/>
      <c r="L896" s="102"/>
      <c r="M896" s="102"/>
    </row>
    <row r="897" spans="1:13">
      <c r="A897" s="123"/>
      <c r="B897" s="127" t="s">
        <v>773</v>
      </c>
      <c r="C897" s="124">
        <f>'Gwefan&amp;Chyfryngau Cymdeithasol'!BF5</f>
        <v>0</v>
      </c>
      <c r="D897" s="14"/>
      <c r="E897" s="14"/>
      <c r="F897" s="14"/>
      <c r="G897" s="14"/>
      <c r="H897" s="14"/>
      <c r="I897" s="14"/>
      <c r="J897" s="14"/>
      <c r="K897" s="100"/>
      <c r="L897" s="102"/>
      <c r="M897" s="102"/>
    </row>
    <row r="898" spans="1:13" ht="29">
      <c r="A898" s="123"/>
      <c r="B898" s="127" t="s">
        <v>938</v>
      </c>
      <c r="C898" s="124">
        <f>COUNTIF('Gwefan&amp;Chyfryngau Cymdeithasol'!$BG:$BG,"Yes")</f>
        <v>0</v>
      </c>
      <c r="D898" s="14"/>
      <c r="E898" s="14"/>
      <c r="F898" s="14"/>
      <c r="G898" s="14"/>
      <c r="H898" s="14"/>
      <c r="I898" s="14"/>
      <c r="J898" s="14"/>
      <c r="K898" s="100"/>
      <c r="L898" s="102"/>
      <c r="M898" s="102"/>
    </row>
    <row r="899" spans="1:13">
      <c r="A899" s="123"/>
      <c r="B899" s="127" t="s">
        <v>939</v>
      </c>
      <c r="C899" s="124">
        <f>COUNTIF('Gwefan&amp;Chyfryngau Cymdeithasol'!$BH:$BH,"Yes")</f>
        <v>0</v>
      </c>
      <c r="D899" s="14"/>
      <c r="E899" s="14"/>
      <c r="F899" s="14"/>
      <c r="G899" s="14"/>
      <c r="H899" s="14"/>
      <c r="I899" s="14"/>
      <c r="J899" s="14"/>
      <c r="K899" s="100"/>
      <c r="L899" s="102"/>
      <c r="M899" s="102"/>
    </row>
    <row r="900" spans="1:13">
      <c r="A900" s="123"/>
      <c r="B900" s="127" t="s">
        <v>940</v>
      </c>
      <c r="C900" s="124">
        <f>SUM('Gwefan&amp;Chyfryngau Cymdeithasol'!$BI:BI)</f>
        <v>0</v>
      </c>
      <c r="D900" s="14"/>
      <c r="E900" s="14"/>
      <c r="F900" s="14"/>
      <c r="G900" s="14"/>
      <c r="H900" s="14"/>
      <c r="I900" s="14"/>
      <c r="J900" s="14"/>
      <c r="K900" s="100"/>
      <c r="L900" s="102"/>
      <c r="M900" s="102"/>
    </row>
    <row r="901" spans="1:13" ht="29">
      <c r="A901" s="123"/>
      <c r="B901" s="127" t="s">
        <v>941</v>
      </c>
      <c r="C901" s="124">
        <f>SUM('Gwefan&amp;Chyfryngau Cymdeithasol'!BJ:BJ)</f>
        <v>0</v>
      </c>
      <c r="D901" s="14"/>
      <c r="E901" s="14"/>
      <c r="F901" s="14"/>
      <c r="G901" s="14"/>
      <c r="H901" s="14"/>
      <c r="I901" s="14"/>
      <c r="J901" s="14"/>
      <c r="K901" s="100"/>
      <c r="L901" s="102"/>
      <c r="M901" s="102"/>
    </row>
    <row r="902" spans="1:13">
      <c r="A902" s="123"/>
      <c r="B902" s="127" t="s">
        <v>942</v>
      </c>
      <c r="C902" s="124">
        <f>SUM('Gwefan&amp;Chyfryngau Cymdeithasol'!$BK:BK)</f>
        <v>0</v>
      </c>
      <c r="D902" s="14"/>
      <c r="E902" s="14"/>
      <c r="F902" s="14"/>
      <c r="G902" s="14"/>
      <c r="H902" s="14"/>
      <c r="I902" s="14"/>
      <c r="J902" s="14"/>
      <c r="K902" s="100"/>
      <c r="L902" s="102"/>
      <c r="M902" s="102"/>
    </row>
    <row r="903" spans="1:13">
      <c r="A903" s="123"/>
      <c r="B903" s="127" t="s">
        <v>943</v>
      </c>
      <c r="C903" s="124">
        <f>'Gwefan&amp;Chyfryngau Cymdeithasol'!BL5</f>
        <v>0</v>
      </c>
      <c r="D903" s="14"/>
      <c r="E903" s="14"/>
      <c r="F903" s="14"/>
      <c r="G903" s="14"/>
      <c r="H903" s="14"/>
      <c r="I903" s="14"/>
      <c r="J903" s="14"/>
      <c r="K903" s="100"/>
      <c r="L903" s="102"/>
      <c r="M903" s="102"/>
    </row>
    <row r="904" spans="1:13" ht="29">
      <c r="A904" s="123"/>
      <c r="B904" s="127" t="s">
        <v>774</v>
      </c>
      <c r="C904" s="124">
        <f>COUNTIF('Gwefan&amp;Chyfryngau Cymdeithasol'!$BM:$BM,"Yes")</f>
        <v>0</v>
      </c>
      <c r="D904" s="14"/>
      <c r="E904" s="14"/>
      <c r="F904" s="14"/>
      <c r="G904" s="14"/>
      <c r="H904" s="14"/>
      <c r="I904" s="14"/>
      <c r="J904" s="14"/>
      <c r="K904" s="100"/>
      <c r="L904" s="102"/>
      <c r="M904" s="102"/>
    </row>
    <row r="905" spans="1:13">
      <c r="A905" s="123"/>
      <c r="B905" s="127" t="s">
        <v>775</v>
      </c>
      <c r="C905" s="124">
        <f>COUNTIF('Gwefan&amp;Chyfryngau Cymdeithasol'!$BN:$BN,"Yes")</f>
        <v>0</v>
      </c>
      <c r="D905" s="14"/>
      <c r="E905" s="14"/>
      <c r="F905" s="14"/>
      <c r="G905" s="14"/>
      <c r="H905" s="14"/>
      <c r="I905" s="14"/>
      <c r="J905" s="14"/>
      <c r="K905" s="100"/>
      <c r="L905" s="102"/>
      <c r="M905" s="102"/>
    </row>
    <row r="906" spans="1:13">
      <c r="A906" s="123"/>
      <c r="B906" s="127" t="s">
        <v>945</v>
      </c>
      <c r="C906" s="124">
        <f>SUM('Gwefan&amp;Chyfryngau Cymdeithasol'!$BO:BO)</f>
        <v>0</v>
      </c>
      <c r="D906" s="14"/>
      <c r="E906" s="14"/>
      <c r="F906" s="14"/>
      <c r="G906" s="14"/>
      <c r="H906" s="14"/>
      <c r="I906" s="14"/>
      <c r="J906" s="14"/>
      <c r="K906" s="100"/>
      <c r="L906" s="102"/>
      <c r="M906" s="102"/>
    </row>
    <row r="907" spans="1:13" ht="29">
      <c r="A907" s="123"/>
      <c r="B907" s="127" t="s">
        <v>944</v>
      </c>
      <c r="C907" s="124">
        <f>SUM('Gwefan&amp;Chyfryngau Cymdeithasol'!$BP:BP)</f>
        <v>0</v>
      </c>
      <c r="D907" s="14"/>
      <c r="E907" s="14"/>
      <c r="F907" s="14"/>
      <c r="G907" s="14"/>
      <c r="H907" s="14"/>
      <c r="I907" s="14"/>
      <c r="J907" s="14"/>
      <c r="K907" s="100"/>
      <c r="L907" s="102"/>
      <c r="M907" s="102"/>
    </row>
    <row r="908" spans="1:13">
      <c r="A908" s="123"/>
      <c r="B908" s="127" t="s">
        <v>946</v>
      </c>
      <c r="C908" s="124">
        <f>SUM('Gwefan&amp;Chyfryngau Cymdeithasol'!$BQ:BQ)</f>
        <v>0</v>
      </c>
      <c r="D908" s="14"/>
      <c r="E908" s="14"/>
      <c r="F908" s="14"/>
      <c r="G908" s="14"/>
      <c r="H908" s="14"/>
      <c r="I908" s="14"/>
      <c r="J908" s="14"/>
      <c r="K908" s="100"/>
      <c r="L908" s="102"/>
      <c r="M908" s="102"/>
    </row>
    <row r="909" spans="1:13">
      <c r="A909" s="123"/>
      <c r="B909" s="127" t="s">
        <v>776</v>
      </c>
      <c r="C909" s="124">
        <f>'Gwefan&amp;Chyfryngau Cymdeithasol'!BR5</f>
        <v>0</v>
      </c>
      <c r="D909" s="14"/>
      <c r="E909" s="14"/>
      <c r="F909" s="14"/>
      <c r="G909" s="14"/>
      <c r="H909" s="14"/>
      <c r="I909" s="14"/>
      <c r="J909" s="14"/>
      <c r="K909" s="100"/>
      <c r="L909" s="102"/>
      <c r="M909" s="102"/>
    </row>
    <row r="910" spans="1:13" ht="29">
      <c r="A910" s="123"/>
      <c r="B910" s="127" t="s">
        <v>777</v>
      </c>
      <c r="C910" s="124">
        <f>COUNTIF('Gwefan&amp;Chyfryngau Cymdeithasol'!$BS:$BS,"Yes")</f>
        <v>0</v>
      </c>
      <c r="D910" s="14"/>
      <c r="E910" s="14"/>
      <c r="F910" s="14"/>
      <c r="G910" s="14"/>
      <c r="H910" s="14"/>
      <c r="I910" s="14"/>
      <c r="J910" s="14"/>
      <c r="K910" s="100"/>
      <c r="L910" s="102"/>
      <c r="M910" s="102"/>
    </row>
    <row r="911" spans="1:13">
      <c r="A911" s="123"/>
      <c r="B911" s="127" t="s">
        <v>778</v>
      </c>
      <c r="C911" s="124">
        <f>COUNTIF('Gwefan&amp;Chyfryngau Cymdeithasol'!$BT:$BT,"Yes")</f>
        <v>0</v>
      </c>
      <c r="D911" s="159"/>
      <c r="E911" s="159"/>
      <c r="F911" s="159"/>
      <c r="G911" s="159"/>
      <c r="H911" s="159"/>
      <c r="I911" s="159"/>
      <c r="J911" s="159"/>
      <c r="K911" s="160"/>
      <c r="L911" s="166"/>
      <c r="M911" s="166"/>
    </row>
    <row r="912" spans="1:13">
      <c r="A912" s="123"/>
      <c r="B912" s="127" t="s">
        <v>947</v>
      </c>
      <c r="C912" s="124">
        <f>SUM('Gwefan&amp;Chyfryngau Cymdeithasol'!$BU:BU)</f>
        <v>0</v>
      </c>
      <c r="D912" s="159"/>
      <c r="E912" s="159"/>
      <c r="F912" s="159"/>
      <c r="G912" s="159"/>
      <c r="H912" s="159"/>
      <c r="I912" s="159"/>
      <c r="J912" s="159"/>
      <c r="K912" s="160"/>
      <c r="L912" s="166"/>
      <c r="M912" s="166"/>
    </row>
    <row r="913" spans="1:13" ht="29">
      <c r="A913" s="123"/>
      <c r="B913" s="127" t="s">
        <v>948</v>
      </c>
      <c r="C913" s="124">
        <f>SUM('Gwefan&amp;Chyfryngau Cymdeithasol'!$BV:$BV)</f>
        <v>0</v>
      </c>
      <c r="D913" s="159"/>
      <c r="E913" s="159"/>
      <c r="F913" s="159"/>
      <c r="G913" s="159"/>
      <c r="H913" s="159"/>
      <c r="I913" s="159"/>
      <c r="J913" s="159"/>
      <c r="K913" s="160"/>
      <c r="L913" s="166"/>
      <c r="M913" s="166"/>
    </row>
    <row r="914" spans="1:13" ht="15">
      <c r="A914" s="123"/>
      <c r="B914" s="127" t="s">
        <v>949</v>
      </c>
      <c r="C914" s="126">
        <f>SUM('Gwefan&amp;Chyfryngau Cymdeithasol'!$BW:$BW)</f>
        <v>0</v>
      </c>
      <c r="D914" s="159"/>
      <c r="E914" s="159"/>
      <c r="F914" s="159"/>
      <c r="G914" s="159"/>
      <c r="H914" s="159"/>
      <c r="I914" s="159"/>
      <c r="J914" s="159"/>
      <c r="K914" s="160"/>
      <c r="L914" s="166"/>
      <c r="M914" s="166"/>
    </row>
    <row r="915" spans="1:13" ht="15">
      <c r="A915" s="123"/>
      <c r="B915" s="127" t="s">
        <v>779</v>
      </c>
      <c r="C915" s="126">
        <f>'Gwefan&amp;Chyfryngau Cymdeithasol'!BX5</f>
        <v>0</v>
      </c>
      <c r="D915" s="14"/>
      <c r="E915" s="14"/>
      <c r="F915" s="14"/>
      <c r="G915" s="14"/>
      <c r="H915" s="14"/>
      <c r="I915" s="14"/>
      <c r="J915" s="14"/>
      <c r="K915" s="100"/>
      <c r="L915" s="102"/>
      <c r="M915" s="102"/>
    </row>
    <row r="916" spans="1:13" ht="29">
      <c r="A916" s="123"/>
      <c r="B916" s="127" t="s">
        <v>952</v>
      </c>
      <c r="C916" s="126">
        <f>COUNTIF('Gwefan&amp;Chyfryngau Cymdeithasol'!$BY:$BY,"Yes")</f>
        <v>0</v>
      </c>
      <c r="D916" s="14"/>
      <c r="E916" s="14"/>
      <c r="F916" s="14"/>
      <c r="G916" s="14"/>
      <c r="H916" s="14"/>
      <c r="I916" s="14"/>
      <c r="J916" s="14"/>
      <c r="K916" s="100"/>
      <c r="L916" s="102"/>
      <c r="M916" s="102"/>
    </row>
    <row r="917" spans="1:13" ht="29">
      <c r="A917" s="123"/>
      <c r="B917" s="127" t="s">
        <v>950</v>
      </c>
      <c r="C917" s="124">
        <f>COUNTIF('Gwefan&amp;Chyfryngau Cymdeithasol'!$BZ:$BZ,"Yes")</f>
        <v>0</v>
      </c>
      <c r="D917" s="14"/>
      <c r="E917" s="14"/>
      <c r="F917" s="14"/>
      <c r="G917" s="14"/>
      <c r="H917" s="14"/>
      <c r="I917" s="14"/>
      <c r="J917" s="14"/>
      <c r="K917" s="100"/>
      <c r="L917" s="102"/>
      <c r="M917" s="102"/>
    </row>
    <row r="918" spans="1:13">
      <c r="A918" s="123"/>
      <c r="B918" s="127" t="s">
        <v>953</v>
      </c>
      <c r="C918" s="124">
        <f>SUM('Gwefan&amp;Chyfryngau Cymdeithasol'!$CA:$CA)</f>
        <v>0</v>
      </c>
      <c r="D918" s="14"/>
      <c r="E918" s="14"/>
      <c r="F918" s="14"/>
      <c r="G918" s="14"/>
      <c r="H918" s="14"/>
      <c r="I918" s="14"/>
      <c r="J918" s="14"/>
      <c r="K918" s="100"/>
      <c r="L918" s="102"/>
      <c r="M918" s="102"/>
    </row>
    <row r="919" spans="1:13" ht="29">
      <c r="A919" s="123"/>
      <c r="B919" s="127" t="s">
        <v>954</v>
      </c>
      <c r="C919" s="124">
        <f>SUM('Gwefan&amp;Chyfryngau Cymdeithasol'!$CB:$CB)</f>
        <v>0</v>
      </c>
      <c r="D919" s="14"/>
      <c r="E919" s="14"/>
      <c r="F919" s="14"/>
      <c r="G919" s="14"/>
      <c r="H919" s="14"/>
      <c r="I919" s="14"/>
      <c r="J919" s="14"/>
      <c r="K919" s="100"/>
      <c r="L919" s="102"/>
      <c r="M919" s="102"/>
    </row>
    <row r="920" spans="1:13">
      <c r="A920" s="123"/>
      <c r="B920" s="127" t="s">
        <v>955</v>
      </c>
      <c r="C920" s="124">
        <f>SUM('Gwefan&amp;Chyfryngau Cymdeithasol'!$CC:$CC)</f>
        <v>0</v>
      </c>
      <c r="D920" s="14"/>
      <c r="E920" s="14"/>
      <c r="F920" s="14"/>
      <c r="G920" s="14"/>
      <c r="H920" s="14"/>
      <c r="I920" s="14"/>
      <c r="J920" s="14"/>
      <c r="K920" s="100"/>
      <c r="L920" s="102"/>
      <c r="M920" s="102"/>
    </row>
    <row r="921" spans="1:13">
      <c r="A921" s="123"/>
      <c r="B921" s="127" t="s">
        <v>951</v>
      </c>
      <c r="C921" s="124">
        <f>'Gwefan&amp;Chyfryngau Cymdeithasol'!CD5</f>
        <v>0</v>
      </c>
      <c r="D921" s="14"/>
      <c r="E921" s="14"/>
      <c r="F921" s="14"/>
      <c r="G921" s="14"/>
      <c r="H921" s="14"/>
      <c r="I921" s="14"/>
      <c r="J921" s="14"/>
      <c r="K921" s="100"/>
      <c r="L921" s="102"/>
      <c r="M921" s="102"/>
    </row>
    <row r="922" spans="1:13" ht="29">
      <c r="A922" s="123"/>
      <c r="B922" s="127" t="s">
        <v>780</v>
      </c>
      <c r="C922" s="126">
        <f>COUNTIF('Gwefan&amp;Chyfryngau Cymdeithasol'!$CE:$CE,"Yes")</f>
        <v>0</v>
      </c>
      <c r="D922" s="14"/>
      <c r="E922" s="14"/>
      <c r="F922" s="14"/>
      <c r="G922" s="14"/>
      <c r="H922" s="14"/>
      <c r="I922" s="14"/>
      <c r="J922" s="14"/>
      <c r="K922" s="100"/>
      <c r="L922" s="102"/>
      <c r="M922" s="102"/>
    </row>
    <row r="923" spans="1:13" ht="15">
      <c r="A923" s="123"/>
      <c r="B923" s="127" t="s">
        <v>781</v>
      </c>
      <c r="C923" s="126">
        <f>COUNTIF('Gwefan&amp;Chyfryngau Cymdeithasol'!$CF:$CF,"Yes")</f>
        <v>0</v>
      </c>
      <c r="D923" s="14"/>
      <c r="E923" s="14"/>
      <c r="F923" s="14"/>
      <c r="G923" s="14"/>
      <c r="H923" s="14"/>
      <c r="I923" s="14"/>
      <c r="J923" s="14"/>
      <c r="K923" s="100"/>
      <c r="L923" s="102"/>
      <c r="M923" s="102"/>
    </row>
    <row r="924" spans="1:13">
      <c r="A924" s="123"/>
      <c r="B924" s="127" t="s">
        <v>956</v>
      </c>
      <c r="C924" s="124">
        <f>SUM('Gwefan&amp;Chyfryngau Cymdeithasol'!$CG:$CG)</f>
        <v>0</v>
      </c>
      <c r="D924" s="14"/>
      <c r="E924" s="14"/>
      <c r="F924" s="14"/>
      <c r="G924" s="14"/>
      <c r="H924" s="14"/>
      <c r="I924" s="14"/>
      <c r="J924" s="14"/>
      <c r="K924" s="100"/>
      <c r="L924" s="102"/>
      <c r="M924" s="102"/>
    </row>
    <row r="925" spans="1:13" ht="29">
      <c r="A925" s="123"/>
      <c r="B925" s="127" t="s">
        <v>957</v>
      </c>
      <c r="C925" s="124">
        <f>SUM('Gwefan&amp;Chyfryngau Cymdeithasol'!$CH:$CH)</f>
        <v>0</v>
      </c>
      <c r="D925" s="14"/>
      <c r="E925" s="14"/>
      <c r="F925" s="14"/>
      <c r="G925" s="14"/>
      <c r="H925" s="14"/>
      <c r="I925" s="14"/>
      <c r="J925" s="14"/>
      <c r="K925" s="100"/>
      <c r="L925" s="102"/>
      <c r="M925" s="102"/>
    </row>
    <row r="926" spans="1:13">
      <c r="A926" s="123"/>
      <c r="B926" s="127" t="s">
        <v>958</v>
      </c>
      <c r="C926" s="124">
        <f>SUM('Gwefan&amp;Chyfryngau Cymdeithasol'!$CI:$CI)</f>
        <v>0</v>
      </c>
      <c r="D926" s="14"/>
      <c r="E926" s="14"/>
      <c r="F926" s="14"/>
      <c r="G926" s="14"/>
      <c r="H926" s="14"/>
      <c r="I926" s="14"/>
      <c r="J926" s="14"/>
      <c r="K926" s="100"/>
      <c r="L926" s="102"/>
      <c r="M926" s="102"/>
    </row>
    <row r="927" spans="1:13">
      <c r="A927" s="123"/>
      <c r="B927" s="127" t="s">
        <v>782</v>
      </c>
      <c r="C927" s="124">
        <f>'Gwefan&amp;Chyfryngau Cymdeithasol'!CJ5</f>
        <v>0</v>
      </c>
      <c r="D927" s="14"/>
      <c r="E927" s="14"/>
      <c r="F927" s="14"/>
      <c r="G927" s="14"/>
      <c r="H927" s="14"/>
      <c r="I927" s="14"/>
      <c r="J927" s="14"/>
      <c r="K927" s="100"/>
      <c r="L927" s="102"/>
      <c r="M927" s="102"/>
    </row>
    <row r="928" spans="1:13" ht="29">
      <c r="A928" s="123"/>
      <c r="B928" s="127" t="s">
        <v>959</v>
      </c>
      <c r="C928" s="126">
        <f>COUNTIF('Gwefan&amp;Chyfryngau Cymdeithasol'!$CK:$CK,"Yes")</f>
        <v>0</v>
      </c>
      <c r="D928" s="14"/>
      <c r="E928" s="14"/>
      <c r="F928" s="14"/>
      <c r="G928" s="14"/>
      <c r="H928" s="14"/>
      <c r="I928" s="14"/>
      <c r="J928" s="14"/>
      <c r="K928" s="100"/>
      <c r="L928" s="102"/>
      <c r="M928" s="102"/>
    </row>
    <row r="929" spans="1:13" ht="15">
      <c r="A929" s="123"/>
      <c r="B929" s="127" t="s">
        <v>960</v>
      </c>
      <c r="C929" s="126">
        <f>COUNTIF('Gwefan&amp;Chyfryngau Cymdeithasol'!$CL:$CL,"Yes")</f>
        <v>0</v>
      </c>
      <c r="D929" s="14"/>
      <c r="E929" s="14"/>
      <c r="F929" s="14"/>
      <c r="G929" s="14"/>
      <c r="H929" s="14"/>
      <c r="I929" s="14"/>
      <c r="J929" s="14"/>
      <c r="K929" s="100"/>
      <c r="L929" s="102"/>
      <c r="M929" s="102"/>
    </row>
    <row r="930" spans="1:13" ht="15">
      <c r="A930" s="123"/>
      <c r="B930" s="127" t="s">
        <v>962</v>
      </c>
      <c r="C930" s="126">
        <f>'Gwefan&amp;Chyfryngau Cymdeithasol'!CM5</f>
        <v>0</v>
      </c>
      <c r="D930" s="14"/>
      <c r="E930" s="14"/>
      <c r="F930" s="14"/>
      <c r="G930" s="14"/>
      <c r="H930" s="14"/>
      <c r="I930" s="14"/>
      <c r="J930" s="14"/>
      <c r="K930" s="100"/>
      <c r="L930" s="102"/>
      <c r="M930" s="102"/>
    </row>
    <row r="931" spans="1:13" ht="29">
      <c r="A931" s="123"/>
      <c r="B931" s="127" t="s">
        <v>783</v>
      </c>
      <c r="C931" s="126">
        <f>COUNTIF('Gwefan&amp;Chyfryngau Cymdeithasol'!$CN:$CN,"Yes")</f>
        <v>0</v>
      </c>
      <c r="D931" s="156"/>
      <c r="E931" s="14"/>
      <c r="F931" s="14"/>
      <c r="G931" s="14"/>
      <c r="H931" s="14"/>
      <c r="I931" s="14"/>
      <c r="J931" s="14"/>
      <c r="K931" s="100"/>
      <c r="L931" s="102"/>
      <c r="M931" s="102"/>
    </row>
    <row r="932" spans="1:13" ht="15.5" customHeight="1">
      <c r="A932" s="123"/>
      <c r="B932" s="127" t="s">
        <v>784</v>
      </c>
      <c r="C932" s="126">
        <f>COUNTIF('Gwefan&amp;Chyfryngau Cymdeithasol'!$CO:$CO,"Yes")</f>
        <v>0</v>
      </c>
      <c r="D932" s="156"/>
      <c r="E932" s="14"/>
      <c r="F932" s="14"/>
      <c r="G932" s="14"/>
      <c r="H932" s="14"/>
      <c r="I932" s="14"/>
      <c r="J932" s="14"/>
      <c r="K932" s="100"/>
      <c r="L932" s="102"/>
      <c r="M932" s="102"/>
    </row>
    <row r="933" spans="1:13" ht="15">
      <c r="A933" s="123"/>
      <c r="B933" s="127" t="s">
        <v>785</v>
      </c>
      <c r="C933" s="126">
        <f>'Gwefan&amp;Chyfryngau Cymdeithasol'!CP5</f>
        <v>0</v>
      </c>
      <c r="D933" s="156"/>
      <c r="E933" s="14"/>
      <c r="F933" s="14"/>
      <c r="G933" s="14"/>
      <c r="H933" s="14"/>
      <c r="I933" s="14"/>
      <c r="J933" s="14"/>
      <c r="K933" s="100"/>
      <c r="L933" s="102"/>
      <c r="M933" s="102"/>
    </row>
    <row r="934" spans="1:13" ht="30">
      <c r="A934" s="123" t="s">
        <v>786</v>
      </c>
      <c r="B934" s="125" t="s">
        <v>787</v>
      </c>
      <c r="C934" s="126">
        <f>SUM('Gwefan&amp;Chyfryngau Cymdeithasol'!$CQ:$CQ)</f>
        <v>0</v>
      </c>
      <c r="D934" s="14"/>
      <c r="E934" s="14"/>
      <c r="F934" s="14"/>
      <c r="G934" s="14"/>
      <c r="H934" s="14"/>
      <c r="I934" s="14"/>
      <c r="J934" s="14"/>
      <c r="K934" s="100"/>
      <c r="L934" s="102"/>
      <c r="M934" s="102"/>
    </row>
    <row r="935" spans="1:13" ht="30">
      <c r="A935" s="123"/>
      <c r="B935" s="125" t="s">
        <v>788</v>
      </c>
      <c r="C935" s="126">
        <f>SUM('Gwefan&amp;Chyfryngau Cymdeithasol'!$CR:$CR)</f>
        <v>0</v>
      </c>
      <c r="D935" s="14"/>
      <c r="E935" s="14"/>
      <c r="F935" s="14"/>
      <c r="G935" s="14"/>
      <c r="H935" s="14"/>
      <c r="I935" s="14"/>
      <c r="J935" s="14"/>
      <c r="K935" s="100"/>
      <c r="L935" s="102"/>
      <c r="M935" s="102"/>
    </row>
    <row r="936" spans="1:13" ht="30">
      <c r="A936" s="123"/>
      <c r="B936" s="125" t="s">
        <v>789</v>
      </c>
      <c r="C936" s="126">
        <f>SUM('Gwefan&amp;Chyfryngau Cymdeithasol'!$CS:$CS)</f>
        <v>0</v>
      </c>
      <c r="D936" s="102"/>
      <c r="E936" s="14"/>
      <c r="F936" s="14"/>
      <c r="G936" s="14"/>
      <c r="H936" s="14"/>
      <c r="I936" s="14"/>
      <c r="J936" s="14"/>
      <c r="K936" s="100"/>
      <c r="L936" s="102"/>
      <c r="M936" s="102"/>
    </row>
    <row r="937" spans="1:13" ht="16">
      <c r="A937" s="90"/>
      <c r="B937" s="90"/>
      <c r="C937" s="90"/>
      <c r="D937" s="102"/>
      <c r="E937" s="14"/>
      <c r="F937" s="14"/>
      <c r="G937" s="14"/>
      <c r="H937" s="14"/>
      <c r="I937" s="14"/>
      <c r="J937" s="14"/>
      <c r="K937" s="100"/>
      <c r="L937" s="102"/>
      <c r="M937" s="102"/>
    </row>
    <row r="938" spans="1:13">
      <c r="A938" s="128" t="s">
        <v>518</v>
      </c>
      <c r="B938" s="128"/>
      <c r="C938" s="128"/>
      <c r="D938" s="14"/>
      <c r="E938" s="14"/>
      <c r="F938" s="14"/>
      <c r="G938" s="14"/>
      <c r="H938" s="14"/>
      <c r="I938" s="14"/>
      <c r="J938" s="14"/>
      <c r="K938" s="100"/>
      <c r="L938" s="102"/>
      <c r="M938" s="102"/>
    </row>
    <row r="939" spans="1:13">
      <c r="A939" s="128"/>
      <c r="B939" s="128"/>
      <c r="C939" s="128"/>
      <c r="D939" s="14"/>
      <c r="E939" s="14"/>
      <c r="F939" s="14"/>
      <c r="G939" s="14"/>
      <c r="H939" s="14"/>
      <c r="I939" s="14"/>
      <c r="J939" s="14"/>
      <c r="K939" s="100"/>
      <c r="L939" s="102"/>
      <c r="M939" s="102"/>
    </row>
    <row r="940" spans="1:13">
      <c r="A940" s="128" t="s">
        <v>523</v>
      </c>
      <c r="B940" s="128" t="s">
        <v>639</v>
      </c>
      <c r="C940" s="129">
        <f>SUMIF('Lleoliadau Cyflwyno'!C4:C9999,"Perfformiad digidol byw",'Lleoliadau Cyflwyno'!M:M)</f>
        <v>0</v>
      </c>
      <c r="D940" s="158">
        <f>L940</f>
        <v>1</v>
      </c>
      <c r="E940" s="14"/>
      <c r="F940" s="14"/>
      <c r="G940" s="14"/>
      <c r="H940" s="14"/>
      <c r="I940" s="14"/>
      <c r="J940" s="14"/>
      <c r="K940" s="100"/>
      <c r="L940" s="102">
        <f t="shared" ref="L940:L1003" si="542">IF(M940="ok",1,0)</f>
        <v>1</v>
      </c>
      <c r="M940" s="102" t="str">
        <f t="shared" ref="M940:M944" si="543">IF(AND(C940&gt;=0.1,SUM(C941)&gt;=C940),"ok",IF(AND(C940=0,SUM(C941)=0),"ok",IF(AND(C940&gt;0.1,SUM(C941)=0),"wrong",IF(AND(C940=0,SUM(C941)&gt;0.1),"wrong"))))</f>
        <v>ok</v>
      </c>
    </row>
    <row r="941" spans="1:13">
      <c r="A941" s="128"/>
      <c r="B941" s="128" t="s">
        <v>640</v>
      </c>
      <c r="C941" s="129">
        <f>SUMIF('Lleoliadau Cyflwyno'!C4:C9999,"Perfformiad digidol byw",'Lleoliadau Cyflwyno'!N:N)</f>
        <v>0</v>
      </c>
      <c r="D941" s="158">
        <f t="shared" ref="D941:D945" si="544">L941</f>
        <v>1</v>
      </c>
      <c r="E941" s="14"/>
      <c r="F941" s="14"/>
      <c r="G941" s="14"/>
      <c r="H941" s="14"/>
      <c r="I941" s="14"/>
      <c r="J941" s="14"/>
      <c r="K941" s="100"/>
      <c r="L941" s="102">
        <f t="shared" si="542"/>
        <v>1</v>
      </c>
      <c r="M941" s="102" t="str">
        <f t="shared" ref="M941:M945" si="545">IF(C940&lt;=C941,"ok","wrong")</f>
        <v>ok</v>
      </c>
    </row>
    <row r="942" spans="1:13">
      <c r="A942" s="128"/>
      <c r="B942" s="128" t="s">
        <v>641</v>
      </c>
      <c r="C942" s="129">
        <f>SUMIF('Lleoliadau Cyflwyno'!C4:C9999,"perfformiad digidol wedi'i recordio ymlaen llaw",'Lleoliadau Cyflwyno'!M:M)</f>
        <v>0</v>
      </c>
      <c r="D942" s="158">
        <f t="shared" si="544"/>
        <v>1</v>
      </c>
      <c r="E942" s="14"/>
      <c r="F942" s="14"/>
      <c r="G942" s="14"/>
      <c r="H942" s="14"/>
      <c r="I942" s="14"/>
      <c r="J942" s="14"/>
      <c r="K942" s="100"/>
      <c r="L942" s="102">
        <f t="shared" si="542"/>
        <v>1</v>
      </c>
      <c r="M942" s="102" t="str">
        <f t="shared" si="543"/>
        <v>ok</v>
      </c>
    </row>
    <row r="943" spans="1:13">
      <c r="A943" s="128"/>
      <c r="B943" s="128" t="s">
        <v>642</v>
      </c>
      <c r="C943" s="129">
        <f>SUMIF('Lleoliadau Cyflwyno'!C4:C9999,"perfformiad digidol wedi'i recordio ymlaen llaw",'Lleoliadau Cyflwyno'!N:N)</f>
        <v>0</v>
      </c>
      <c r="D943" s="158">
        <f t="shared" si="544"/>
        <v>1</v>
      </c>
      <c r="E943" s="14"/>
      <c r="F943" s="14"/>
      <c r="G943" s="14"/>
      <c r="H943" s="14"/>
      <c r="I943" s="14"/>
      <c r="J943" s="14"/>
      <c r="K943" s="100"/>
      <c r="L943" s="102">
        <f t="shared" si="542"/>
        <v>1</v>
      </c>
      <c r="M943" s="102" t="str">
        <f t="shared" si="545"/>
        <v>ok</v>
      </c>
    </row>
    <row r="944" spans="1:13">
      <c r="A944" s="128"/>
      <c r="B944" s="128" t="s">
        <v>643</v>
      </c>
      <c r="C944" s="129">
        <f>SUMIF('Lleoliadau Cyflwyno'!C4:C9999,"perfformiad byw",'Lleoliadau Cyflwyno'!M:M)</f>
        <v>0</v>
      </c>
      <c r="D944" s="158">
        <f t="shared" si="544"/>
        <v>1</v>
      </c>
      <c r="E944" s="14"/>
      <c r="F944" s="14"/>
      <c r="G944" s="14"/>
      <c r="H944" s="14"/>
      <c r="I944" s="14"/>
      <c r="J944" s="14"/>
      <c r="K944" s="100"/>
      <c r="L944" s="102">
        <f t="shared" si="542"/>
        <v>1</v>
      </c>
      <c r="M944" s="102" t="str">
        <f t="shared" si="543"/>
        <v>ok</v>
      </c>
    </row>
    <row r="945" spans="1:13">
      <c r="A945" s="128"/>
      <c r="B945" s="128" t="s">
        <v>644</v>
      </c>
      <c r="C945" s="129">
        <f>SUMIF('Lleoliadau Cyflwyno'!C4:C9999,"perfformiad byw",'Lleoliadau Cyflwyno'!N:N)</f>
        <v>0</v>
      </c>
      <c r="D945" s="158">
        <f t="shared" si="544"/>
        <v>1</v>
      </c>
      <c r="E945" s="14"/>
      <c r="F945" s="14"/>
      <c r="G945" s="14"/>
      <c r="H945" s="14"/>
      <c r="I945" s="14"/>
      <c r="J945" s="14"/>
      <c r="K945" s="100"/>
      <c r="L945" s="102">
        <f t="shared" si="542"/>
        <v>1</v>
      </c>
      <c r="M945" s="102" t="str">
        <f t="shared" si="545"/>
        <v>ok</v>
      </c>
    </row>
    <row r="946" spans="1:13" ht="15">
      <c r="A946" s="128" t="s">
        <v>790</v>
      </c>
      <c r="B946" s="130" t="s">
        <v>970</v>
      </c>
      <c r="C946" s="129">
        <f>COUNTIFS('Lleoliadau Cyflwyno'!$E:$E,"Dawns",'Lleoliadau Cyflwyno'!$D:$D,"Proffesiynol")</f>
        <v>0</v>
      </c>
      <c r="D946" s="102">
        <f>L946</f>
        <v>1</v>
      </c>
      <c r="E946" s="14"/>
      <c r="F946" s="14"/>
      <c r="G946" s="14"/>
      <c r="H946" s="14"/>
      <c r="I946" s="14"/>
      <c r="J946" s="14"/>
      <c r="K946" s="100"/>
      <c r="L946" s="102">
        <f t="shared" si="542"/>
        <v>1</v>
      </c>
      <c r="M946" s="102" t="str">
        <f>IF(AND(C947&gt;=0.1,SUM(C946)&gt;=C947),"ok",IF(AND(C947=0,SUM(C946)=0),"ok",IF(AND(C947&gt;0.1,SUM(C946)=0),"wrong",IF(AND(C947=0,SUM(C946)&gt;0.1),"wrong"))))</f>
        <v>ok</v>
      </c>
    </row>
    <row r="947" spans="1:13">
      <c r="A947" s="128"/>
      <c r="B947" s="131" t="s">
        <v>791</v>
      </c>
      <c r="C947" s="129">
        <f>SUMIFS('Lleoliadau Cyflwyno'!$M:$M,'Lleoliadau Cyflwyno'!$E:$E,"Dawns",'Lleoliadau Cyflwyno'!$D:$D,"Proffesiynol")</f>
        <v>0</v>
      </c>
      <c r="D947" s="102">
        <f>L947</f>
        <v>1</v>
      </c>
      <c r="E947" s="14"/>
      <c r="F947" s="14"/>
      <c r="G947" s="14"/>
      <c r="H947" s="14"/>
      <c r="I947" s="14"/>
      <c r="J947" s="14"/>
      <c r="K947" s="100"/>
      <c r="L947" s="102">
        <f t="shared" si="542"/>
        <v>1</v>
      </c>
      <c r="M947" s="102" t="str">
        <f>IF(AND(C946&gt;=0.1,SUM(C948)&gt;=C946),"ok",IF(AND(C946=0,SUM(C948)=0),"ok",IF(AND(C946&gt;0.1,SUM(C948)=0),"wrong",IF(AND(C946=0,SUM(C948)&gt;0.1),"wrong"))))</f>
        <v>ok</v>
      </c>
    </row>
    <row r="948" spans="1:13">
      <c r="A948" s="128"/>
      <c r="B948" s="131" t="s">
        <v>792</v>
      </c>
      <c r="C948" s="129">
        <f>SUMIFS('Lleoliadau Cyflwyno'!$N:$N,'Lleoliadau Cyflwyno'!$E:$E,"Dawns",'Lleoliadau Cyflwyno'!$D:$D,"Proffesiynol")</f>
        <v>0</v>
      </c>
      <c r="D948" s="102">
        <f t="shared" ref="D948:D1011" si="546">L948</f>
        <v>1</v>
      </c>
      <c r="E948" s="14"/>
      <c r="F948" s="14"/>
      <c r="G948" s="14"/>
      <c r="H948" s="14"/>
      <c r="I948" s="14"/>
      <c r="J948" s="14"/>
      <c r="K948" s="100"/>
      <c r="L948" s="102">
        <f t="shared" si="542"/>
        <v>1</v>
      </c>
      <c r="M948" s="102" t="str">
        <f>IF(C946&lt;=C948,"ok","wrong")</f>
        <v>ok</v>
      </c>
    </row>
    <row r="949" spans="1:13" ht="15">
      <c r="A949" s="128"/>
      <c r="B949" s="130" t="s">
        <v>793</v>
      </c>
      <c r="C949" s="129">
        <f>COUNTIFS('Lleoliadau Cyflwyno'!$E:$E,"Dawns",'Lleoliadau Cyflwyno'!$D:$D,"Amatur")</f>
        <v>0</v>
      </c>
      <c r="D949" s="102">
        <f t="shared" si="546"/>
        <v>1</v>
      </c>
      <c r="E949" s="14"/>
      <c r="F949" s="14"/>
      <c r="G949" s="14"/>
      <c r="H949" s="14"/>
      <c r="I949" s="14"/>
      <c r="J949" s="14"/>
      <c r="K949" s="100"/>
      <c r="L949" s="102">
        <f t="shared" si="542"/>
        <v>1</v>
      </c>
      <c r="M949" s="102" t="str">
        <f t="shared" ref="M949:M950" si="547">IF(AND(C949&gt;=0.1,SUM(C950)&gt;=C949),"ok",IF(AND(C949=0,SUM(C950)=0),"ok",IF(AND(C949&gt;0.1,SUM(C950)=0),"wrong",IF(AND(C949=0,SUM(C950)&gt;0.1),"wrong"))))</f>
        <v>ok</v>
      </c>
    </row>
    <row r="950" spans="1:13">
      <c r="A950" s="128"/>
      <c r="B950" s="131" t="s">
        <v>794</v>
      </c>
      <c r="C950" s="129">
        <f>SUMIFS('Lleoliadau Cyflwyno'!$M:$M,'Lleoliadau Cyflwyno'!$E:$E,"Dawns",'Lleoliadau Cyflwyno'!$D:$D,"Amatur")</f>
        <v>0</v>
      </c>
      <c r="D950" s="102">
        <f t="shared" si="546"/>
        <v>1</v>
      </c>
      <c r="E950" s="14"/>
      <c r="F950" s="14"/>
      <c r="G950" s="14"/>
      <c r="H950" s="14"/>
      <c r="I950" s="14"/>
      <c r="J950" s="14"/>
      <c r="K950" s="100"/>
      <c r="L950" s="102">
        <f t="shared" si="542"/>
        <v>1</v>
      </c>
      <c r="M950" s="102" t="str">
        <f t="shared" si="547"/>
        <v>ok</v>
      </c>
    </row>
    <row r="951" spans="1:13">
      <c r="A951" s="128"/>
      <c r="B951" s="131" t="s">
        <v>795</v>
      </c>
      <c r="C951" s="129">
        <f>SUMIFS('Lleoliadau Cyflwyno'!$N:$N,'Lleoliadau Cyflwyno'!$E:$E,"Dawns",'Lleoliadau Cyflwyno'!$D:$D,"Amatur")</f>
        <v>0</v>
      </c>
      <c r="D951" s="102">
        <f t="shared" si="546"/>
        <v>1</v>
      </c>
      <c r="E951" s="14"/>
      <c r="F951" s="14"/>
      <c r="G951" s="14"/>
      <c r="H951" s="14"/>
      <c r="I951" s="14"/>
      <c r="J951" s="14"/>
      <c r="K951" s="100"/>
      <c r="L951" s="102">
        <f t="shared" si="542"/>
        <v>1</v>
      </c>
      <c r="M951" s="102" t="str">
        <f t="shared" ref="M951" si="548">IF(C950&lt;=C951,"ok","wrong")</f>
        <v>ok</v>
      </c>
    </row>
    <row r="952" spans="1:13" ht="15">
      <c r="A952" s="128" t="s">
        <v>796</v>
      </c>
      <c r="B952" s="130" t="s">
        <v>797</v>
      </c>
      <c r="C952" s="129">
        <f>COUNTIFS('Lleoliadau Cyflwyno'!$E:$E,"Drama",'Lleoliadau Cyflwyno'!$D:$D,"Proffesiynol",'Lleoliadau Cyflwyno'!$F:$F,"Ie")</f>
        <v>0</v>
      </c>
      <c r="D952" s="102">
        <f t="shared" si="546"/>
        <v>1</v>
      </c>
      <c r="E952" s="14"/>
      <c r="F952" s="14"/>
      <c r="G952" s="14"/>
      <c r="H952" s="14"/>
      <c r="I952" s="14"/>
      <c r="J952" s="14"/>
      <c r="K952" s="100"/>
      <c r="L952" s="102">
        <f t="shared" si="542"/>
        <v>1</v>
      </c>
      <c r="M952" s="102" t="str">
        <f t="shared" ref="M952:M953" si="549">IF(AND(C952&gt;=0.1,SUM(C953)&gt;=C952),"ok",IF(AND(C952=0,SUM(C953)=0),"ok",IF(AND(C952&gt;0.1,SUM(C953)=0),"wrong",IF(AND(C952=0,SUM(C953)&gt;0.1),"wrong"))))</f>
        <v>ok</v>
      </c>
    </row>
    <row r="953" spans="1:13">
      <c r="A953" s="128"/>
      <c r="B953" s="131" t="s">
        <v>798</v>
      </c>
      <c r="C953" s="129">
        <f>SUMIFS('Lleoliadau Cyflwyno'!$M:$M,'Lleoliadau Cyflwyno'!$E:$E,"drama",'Lleoliadau Cyflwyno'!$D:$D,"Proffesiynol",'Lleoliadau Cyflwyno'!$F:$F,"Ie")</f>
        <v>0</v>
      </c>
      <c r="D953" s="102">
        <f t="shared" si="546"/>
        <v>1</v>
      </c>
      <c r="E953" s="14"/>
      <c r="F953" s="14"/>
      <c r="G953" s="14"/>
      <c r="H953" s="14"/>
      <c r="I953" s="14"/>
      <c r="J953" s="14"/>
      <c r="K953" s="100"/>
      <c r="L953" s="102">
        <f t="shared" si="542"/>
        <v>1</v>
      </c>
      <c r="M953" s="102" t="str">
        <f t="shared" si="549"/>
        <v>ok</v>
      </c>
    </row>
    <row r="954" spans="1:13">
      <c r="A954" s="128"/>
      <c r="B954" s="131" t="s">
        <v>799</v>
      </c>
      <c r="C954" s="129">
        <f>SUMIFS('Lleoliadau Cyflwyno'!$N:$N,'Lleoliadau Cyflwyno'!$E:$E,"Drama",'Lleoliadau Cyflwyno'!$D:$D,"Proffesiynol",'Lleoliadau Cyflwyno'!$F:$F,"Ie")</f>
        <v>0</v>
      </c>
      <c r="D954" s="102">
        <f t="shared" si="546"/>
        <v>1</v>
      </c>
      <c r="E954" s="14"/>
      <c r="F954" s="14"/>
      <c r="G954" s="14"/>
      <c r="H954" s="14"/>
      <c r="I954" s="14"/>
      <c r="J954" s="14"/>
      <c r="K954" s="100"/>
      <c r="L954" s="102">
        <f t="shared" si="542"/>
        <v>1</v>
      </c>
      <c r="M954" s="102" t="str">
        <f t="shared" ref="M954" si="550">IF(C953&lt;=C954,"ok","wrong")</f>
        <v>ok</v>
      </c>
    </row>
    <row r="955" spans="1:13" ht="15">
      <c r="A955" s="128"/>
      <c r="B955" s="130" t="s">
        <v>800</v>
      </c>
      <c r="C955" s="129">
        <f>COUNTIFS('Lleoliadau Cyflwyno'!$E:$E,"Drama",'Lleoliadau Cyflwyno'!$D:$D,"Proffesiynol",'Lleoliadau Cyflwyno'!$G:$G,"Ie")</f>
        <v>0</v>
      </c>
      <c r="D955" s="102">
        <f t="shared" si="546"/>
        <v>1</v>
      </c>
      <c r="E955" s="14"/>
      <c r="F955" s="14"/>
      <c r="G955" s="14"/>
      <c r="H955" s="14"/>
      <c r="I955" s="14"/>
      <c r="J955" s="14"/>
      <c r="K955" s="100"/>
      <c r="L955" s="102">
        <f t="shared" si="542"/>
        <v>1</v>
      </c>
      <c r="M955" s="102" t="str">
        <f t="shared" ref="M955:M956" si="551">IF(AND(C955&gt;=0.1,SUM(C956)&gt;=C955),"ok",IF(AND(C955=0,SUM(C956)=0),"ok",IF(AND(C955&gt;0.1,SUM(C956)=0),"wrong",IF(AND(C955=0,SUM(C956)&gt;0.1),"wrong"))))</f>
        <v>ok</v>
      </c>
    </row>
    <row r="956" spans="1:13">
      <c r="A956" s="128"/>
      <c r="B956" s="131" t="s">
        <v>801</v>
      </c>
      <c r="C956" s="129">
        <f>SUMIFS('Lleoliadau Cyflwyno'!$M:$M,'Lleoliadau Cyflwyno'!$E:$E,"drama",'Lleoliadau Cyflwyno'!$D:$D,"Proffesiynol",'Lleoliadau Cyflwyno'!$G:$G,"Ie")</f>
        <v>0</v>
      </c>
      <c r="D956" s="102">
        <f t="shared" si="546"/>
        <v>1</v>
      </c>
      <c r="E956" s="14"/>
      <c r="F956" s="14"/>
      <c r="G956" s="14"/>
      <c r="H956" s="14"/>
      <c r="I956" s="14"/>
      <c r="J956" s="14"/>
      <c r="K956" s="100"/>
      <c r="L956" s="102">
        <f t="shared" si="542"/>
        <v>1</v>
      </c>
      <c r="M956" s="102" t="str">
        <f t="shared" si="551"/>
        <v>ok</v>
      </c>
    </row>
    <row r="957" spans="1:13">
      <c r="A957" s="128"/>
      <c r="B957" s="131" t="s">
        <v>802</v>
      </c>
      <c r="C957" s="129">
        <f>SUMIFS('Lleoliadau Cyflwyno'!$N:$N,'Lleoliadau Cyflwyno'!$E:$E,"drama",'Lleoliadau Cyflwyno'!$D:$D,"Proffesiynol",'Lleoliadau Cyflwyno'!$G:$G,"Ie")</f>
        <v>0</v>
      </c>
      <c r="D957" s="102">
        <f t="shared" si="546"/>
        <v>1</v>
      </c>
      <c r="E957" s="14"/>
      <c r="F957" s="14"/>
      <c r="G957" s="14"/>
      <c r="H957" s="14"/>
      <c r="I957" s="14"/>
      <c r="J957" s="14"/>
      <c r="K957" s="100"/>
      <c r="L957" s="102">
        <f t="shared" si="542"/>
        <v>1</v>
      </c>
      <c r="M957" s="102" t="str">
        <f t="shared" ref="M957" si="552">IF(C956&lt;=C957,"ok","wrong")</f>
        <v>ok</v>
      </c>
    </row>
    <row r="958" spans="1:13" ht="15">
      <c r="A958" s="128"/>
      <c r="B958" s="130" t="s">
        <v>803</v>
      </c>
      <c r="C958" s="129">
        <f>COUNTIFS('Lleoliadau Cyflwyno'!$E:$E,"Drama",'Lleoliadau Cyflwyno'!$D:$D,"Proffesiynol",'Lleoliadau Cyflwyno'!$H:$H,"Ie")</f>
        <v>0</v>
      </c>
      <c r="D958" s="102">
        <f t="shared" si="546"/>
        <v>1</v>
      </c>
      <c r="E958" s="14"/>
      <c r="F958" s="14"/>
      <c r="G958" s="14"/>
      <c r="H958" s="14"/>
      <c r="I958" s="14"/>
      <c r="J958" s="14"/>
      <c r="K958" s="100"/>
      <c r="L958" s="102">
        <f t="shared" si="542"/>
        <v>1</v>
      </c>
      <c r="M958" s="102" t="str">
        <f t="shared" ref="M958:M959" si="553">IF(AND(C958&gt;=0.1,SUM(C959)&gt;=C958),"ok",IF(AND(C958=0,SUM(C959)=0),"ok",IF(AND(C958&gt;0.1,SUM(C959)=0),"wrong",IF(AND(C958=0,SUM(C959)&gt;0.1),"wrong"))))</f>
        <v>ok</v>
      </c>
    </row>
    <row r="959" spans="1:13">
      <c r="A959" s="128"/>
      <c r="B959" s="131" t="s">
        <v>804</v>
      </c>
      <c r="C959" s="129">
        <f>SUMIFS('Lleoliadau Cyflwyno'!$M:$M,'Lleoliadau Cyflwyno'!$E:$E,"drama",'Lleoliadau Cyflwyno'!$D:$D,"Proffesiynol",'Lleoliadau Cyflwyno'!$H:$H,"Ie")</f>
        <v>0</v>
      </c>
      <c r="D959" s="102">
        <f t="shared" si="546"/>
        <v>1</v>
      </c>
      <c r="E959" s="14"/>
      <c r="F959" s="14"/>
      <c r="G959" s="14"/>
      <c r="H959" s="14"/>
      <c r="I959" s="14"/>
      <c r="J959" s="14"/>
      <c r="K959" s="100"/>
      <c r="L959" s="102">
        <f t="shared" si="542"/>
        <v>1</v>
      </c>
      <c r="M959" s="102" t="str">
        <f t="shared" si="553"/>
        <v>ok</v>
      </c>
    </row>
    <row r="960" spans="1:13">
      <c r="A960" s="128"/>
      <c r="B960" s="131" t="s">
        <v>805</v>
      </c>
      <c r="C960" s="129">
        <f>SUMIFS('Lleoliadau Cyflwyno'!$N:$N,'Lleoliadau Cyflwyno'!$E:$E,"drama",'Lleoliadau Cyflwyno'!$D:$D,"Proffesiynol",'Lleoliadau Cyflwyno'!$H:$H,"Ie")</f>
        <v>0</v>
      </c>
      <c r="D960" s="102">
        <f t="shared" si="546"/>
        <v>1</v>
      </c>
      <c r="E960" s="14"/>
      <c r="F960" s="14"/>
      <c r="G960" s="14"/>
      <c r="H960" s="14"/>
      <c r="I960" s="14"/>
      <c r="J960" s="14"/>
      <c r="K960" s="100"/>
      <c r="L960" s="102">
        <f t="shared" si="542"/>
        <v>1</v>
      </c>
      <c r="M960" s="102" t="str">
        <f t="shared" ref="M960" si="554">IF(C959&lt;=C960,"ok","wrong")</f>
        <v>ok</v>
      </c>
    </row>
    <row r="961" spans="1:13" ht="15">
      <c r="A961" s="128"/>
      <c r="B961" s="130" t="s">
        <v>806</v>
      </c>
      <c r="C961" s="129">
        <f>COUNTIFS('Lleoliadau Cyflwyno'!$E:$E,"Drama",'Lleoliadau Cyflwyno'!$D:$D,"Proffesiynol",'Lleoliadau Cyflwyno'!$I:$I,"Ie")</f>
        <v>0</v>
      </c>
      <c r="D961" s="102">
        <f t="shared" si="546"/>
        <v>1</v>
      </c>
      <c r="E961" s="14"/>
      <c r="F961" s="14"/>
      <c r="G961" s="14"/>
      <c r="H961" s="14"/>
      <c r="I961" s="14"/>
      <c r="J961" s="14"/>
      <c r="K961" s="100"/>
      <c r="L961" s="102">
        <f t="shared" si="542"/>
        <v>1</v>
      </c>
      <c r="M961" s="102" t="str">
        <f t="shared" ref="M961:M962" si="555">IF(AND(C961&gt;=0.1,SUM(C962)&gt;=C961),"ok",IF(AND(C961=0,SUM(C962)=0),"ok",IF(AND(C961&gt;0.1,SUM(C962)=0),"wrong",IF(AND(C961=0,SUM(C962)&gt;0.1),"wrong"))))</f>
        <v>ok</v>
      </c>
    </row>
    <row r="962" spans="1:13">
      <c r="A962" s="128"/>
      <c r="B962" s="131" t="s">
        <v>807</v>
      </c>
      <c r="C962" s="129">
        <f>SUMIFS('Lleoliadau Cyflwyno'!$M:$M,'Lleoliadau Cyflwyno'!$E:$E,"drama",'Lleoliadau Cyflwyno'!$D:$D,"Proffesiynol",'Lleoliadau Cyflwyno'!$I:$I,"Ie")</f>
        <v>0</v>
      </c>
      <c r="D962" s="102">
        <f t="shared" si="546"/>
        <v>1</v>
      </c>
      <c r="E962" s="14"/>
      <c r="F962" s="14"/>
      <c r="G962" s="14"/>
      <c r="H962" s="14"/>
      <c r="I962" s="14"/>
      <c r="J962" s="14"/>
      <c r="K962" s="100"/>
      <c r="L962" s="102">
        <f t="shared" si="542"/>
        <v>1</v>
      </c>
      <c r="M962" s="102" t="str">
        <f t="shared" si="555"/>
        <v>ok</v>
      </c>
    </row>
    <row r="963" spans="1:13" ht="29">
      <c r="A963" s="128"/>
      <c r="B963" s="131" t="s">
        <v>808</v>
      </c>
      <c r="C963" s="129">
        <f>SUMIFS('Lleoliadau Cyflwyno'!$N:$N,'Lleoliadau Cyflwyno'!$E:$E,"drama",'Lleoliadau Cyflwyno'!$D:$D,"Proffesiynol",'Lleoliadau Cyflwyno'!$I:$I,"Ie")</f>
        <v>0</v>
      </c>
      <c r="D963" s="102">
        <f t="shared" si="546"/>
        <v>1</v>
      </c>
      <c r="E963" s="14"/>
      <c r="F963" s="14"/>
      <c r="G963" s="14"/>
      <c r="H963" s="14"/>
      <c r="I963" s="14"/>
      <c r="J963" s="14"/>
      <c r="K963" s="100"/>
      <c r="L963" s="102">
        <f t="shared" si="542"/>
        <v>1</v>
      </c>
      <c r="M963" s="102" t="str">
        <f t="shared" ref="M963" si="556">IF(C962&lt;=C963,"ok","wrong")</f>
        <v>ok</v>
      </c>
    </row>
    <row r="964" spans="1:13" ht="15">
      <c r="A964" s="128"/>
      <c r="B964" s="130" t="s">
        <v>809</v>
      </c>
      <c r="C964" s="129">
        <f>COUNTIFS('Lleoliadau Cyflwyno'!$E:$E,"Drama",'Lleoliadau Cyflwyno'!$D:$D,"Proffesiynol",'Lleoliadau Cyflwyno'!$J:$J,"Ie")</f>
        <v>0</v>
      </c>
      <c r="D964" s="102">
        <f t="shared" si="546"/>
        <v>1</v>
      </c>
      <c r="E964" s="14"/>
      <c r="F964" s="14"/>
      <c r="G964" s="14"/>
      <c r="H964" s="14"/>
      <c r="I964" s="14"/>
      <c r="J964" s="14"/>
      <c r="K964" s="100"/>
      <c r="L964" s="102">
        <f t="shared" si="542"/>
        <v>1</v>
      </c>
      <c r="M964" s="102" t="str">
        <f t="shared" ref="M964:M965" si="557">IF(AND(C964&gt;=0.1,SUM(C965)&gt;=C964),"ok",IF(AND(C964=0,SUM(C965)=0),"ok",IF(AND(C964&gt;0.1,SUM(C965)=0),"wrong",IF(AND(C964=0,SUM(C965)&gt;0.1),"wrong"))))</f>
        <v>ok</v>
      </c>
    </row>
    <row r="965" spans="1:13">
      <c r="A965" s="128"/>
      <c r="B965" s="131" t="s">
        <v>810</v>
      </c>
      <c r="C965" s="129">
        <f>SUMIFS('Lleoliadau Cyflwyno'!$M:$M,'Lleoliadau Cyflwyno'!$E:$E,"drama",'Lleoliadau Cyflwyno'!$D:$D,"Proffesiynol",'Lleoliadau Cyflwyno'!$J:$J,"Ie")</f>
        <v>0</v>
      </c>
      <c r="D965" s="102">
        <f t="shared" si="546"/>
        <v>1</v>
      </c>
      <c r="E965" s="14"/>
      <c r="F965" s="14"/>
      <c r="G965" s="14"/>
      <c r="H965" s="14"/>
      <c r="I965" s="14"/>
      <c r="J965" s="14"/>
      <c r="K965" s="100"/>
      <c r="L965" s="102">
        <f t="shared" si="542"/>
        <v>1</v>
      </c>
      <c r="M965" s="102" t="str">
        <f t="shared" si="557"/>
        <v>ok</v>
      </c>
    </row>
    <row r="966" spans="1:13">
      <c r="A966" s="128"/>
      <c r="B966" s="131" t="s">
        <v>811</v>
      </c>
      <c r="C966" s="129">
        <f>SUMIFS('Lleoliadau Cyflwyno'!$N:$N,'Lleoliadau Cyflwyno'!$E:$E,"drama",'Lleoliadau Cyflwyno'!$D:$D,"Proffesiynol",'Lleoliadau Cyflwyno'!$J:$J,"Ie")</f>
        <v>0</v>
      </c>
      <c r="D966" s="102">
        <f t="shared" si="546"/>
        <v>1</v>
      </c>
      <c r="E966" s="14"/>
      <c r="F966" s="14"/>
      <c r="G966" s="14"/>
      <c r="H966" s="14"/>
      <c r="I966" s="14"/>
      <c r="J966" s="14"/>
      <c r="K966" s="100"/>
      <c r="L966" s="102">
        <f t="shared" si="542"/>
        <v>1</v>
      </c>
      <c r="M966" s="102" t="str">
        <f t="shared" ref="M966" si="558">IF(C965&lt;=C966,"ok","wrong")</f>
        <v>ok</v>
      </c>
    </row>
    <row r="967" spans="1:13" ht="15">
      <c r="A967" s="128"/>
      <c r="B967" s="130" t="s">
        <v>812</v>
      </c>
      <c r="C967" s="129">
        <f>COUNTIFS('Lleoliadau Cyflwyno'!$E:$E,"Drama",'Lleoliadau Cyflwyno'!$D:$D,"Proffesiynol",'Lleoliadau Cyflwyno'!$K:$K,"Ie")</f>
        <v>0</v>
      </c>
      <c r="D967" s="102">
        <f t="shared" si="546"/>
        <v>1</v>
      </c>
      <c r="E967" s="14"/>
      <c r="F967" s="14"/>
      <c r="G967" s="14"/>
      <c r="H967" s="14"/>
      <c r="I967" s="14"/>
      <c r="J967" s="14"/>
      <c r="K967" s="100"/>
      <c r="L967" s="102">
        <f t="shared" si="542"/>
        <v>1</v>
      </c>
      <c r="M967" s="102" t="str">
        <f t="shared" ref="M967:M968" si="559">IF(AND(C967&gt;=0.1,SUM(C968)&gt;=C967),"ok",IF(AND(C967=0,SUM(C968)=0),"ok",IF(AND(C967&gt;0.1,SUM(C968)=0),"wrong",IF(AND(C967=0,SUM(C968)&gt;0.1),"wrong"))))</f>
        <v>ok</v>
      </c>
    </row>
    <row r="968" spans="1:13" ht="29">
      <c r="A968" s="128"/>
      <c r="B968" s="131" t="s">
        <v>813</v>
      </c>
      <c r="C968" s="129">
        <f>SUMIFS('Lleoliadau Cyflwyno'!$M:$M,'Lleoliadau Cyflwyno'!$E:$E,"drama",'Lleoliadau Cyflwyno'!$D:$D,"Proffesiynol",'Lleoliadau Cyflwyno'!$K:$K,"Ie")</f>
        <v>0</v>
      </c>
      <c r="D968" s="102">
        <f t="shared" si="546"/>
        <v>1</v>
      </c>
      <c r="E968" s="14"/>
      <c r="F968" s="14"/>
      <c r="G968" s="14"/>
      <c r="H968" s="14"/>
      <c r="I968" s="14"/>
      <c r="J968" s="14"/>
      <c r="K968" s="100"/>
      <c r="L968" s="102">
        <f t="shared" si="542"/>
        <v>1</v>
      </c>
      <c r="M968" s="102" t="str">
        <f t="shared" si="559"/>
        <v>ok</v>
      </c>
    </row>
    <row r="969" spans="1:13" ht="29">
      <c r="A969" s="128"/>
      <c r="B969" s="131" t="s">
        <v>814</v>
      </c>
      <c r="C969" s="129">
        <f>SUMIFS('Lleoliadau Cyflwyno'!$N:$N,'Lleoliadau Cyflwyno'!$E:$E,"drama",'Lleoliadau Cyflwyno'!$D:$D,"Proffesiynol",'Lleoliadau Cyflwyno'!$K:$K,"Ie")</f>
        <v>0</v>
      </c>
      <c r="D969" s="102">
        <f t="shared" si="546"/>
        <v>1</v>
      </c>
      <c r="E969" s="14"/>
      <c r="F969" s="14"/>
      <c r="G969" s="14"/>
      <c r="H969" s="14"/>
      <c r="I969" s="14"/>
      <c r="J969" s="14"/>
      <c r="K969" s="100"/>
      <c r="L969" s="102">
        <f t="shared" si="542"/>
        <v>1</v>
      </c>
      <c r="M969" s="102" t="str">
        <f t="shared" ref="M969" si="560">IF(C968&lt;=C969,"ok","wrong")</f>
        <v>ok</v>
      </c>
    </row>
    <row r="970" spans="1:13" ht="15">
      <c r="A970" s="128"/>
      <c r="B970" s="130" t="s">
        <v>815</v>
      </c>
      <c r="C970" s="129">
        <f>COUNTIFS('Lleoliadau Cyflwyno'!$E:$E,"Drama",'Lleoliadau Cyflwyno'!$D:$D,"Amatur",'Lleoliadau Cyflwyno'!$F:$F,"Ie")</f>
        <v>0</v>
      </c>
      <c r="D970" s="102">
        <f t="shared" si="546"/>
        <v>1</v>
      </c>
      <c r="E970" s="14"/>
      <c r="F970" s="14"/>
      <c r="G970" s="14"/>
      <c r="H970" s="14"/>
      <c r="I970" s="14"/>
      <c r="J970" s="14"/>
      <c r="K970" s="100"/>
      <c r="L970" s="102">
        <f t="shared" si="542"/>
        <v>1</v>
      </c>
      <c r="M970" s="102" t="str">
        <f t="shared" ref="M970:M971" si="561">IF(AND(C970&gt;=0.1,SUM(C971)&gt;=C970),"ok",IF(AND(C970=0,SUM(C971)=0),"ok",IF(AND(C970&gt;0.1,SUM(C971)=0),"wrong",IF(AND(C970=0,SUM(C971)&gt;0.1),"wrong"))))</f>
        <v>ok</v>
      </c>
    </row>
    <row r="971" spans="1:13">
      <c r="A971" s="128"/>
      <c r="B971" s="131" t="s">
        <v>816</v>
      </c>
      <c r="C971" s="129">
        <f>SUMIFS('Lleoliadau Cyflwyno'!$M:$M,'Lleoliadau Cyflwyno'!$E:$E,"drama",'Lleoliadau Cyflwyno'!$D:$D,"Amatur",'Lleoliadau Cyflwyno'!$F:$F,"Ie")</f>
        <v>0</v>
      </c>
      <c r="D971" s="102">
        <f t="shared" si="546"/>
        <v>1</v>
      </c>
      <c r="E971" s="14"/>
      <c r="F971" s="14"/>
      <c r="G971" s="14"/>
      <c r="H971" s="14"/>
      <c r="I971" s="14"/>
      <c r="J971" s="14"/>
      <c r="K971" s="100"/>
      <c r="L971" s="102">
        <f t="shared" si="542"/>
        <v>1</v>
      </c>
      <c r="M971" s="102" t="str">
        <f t="shared" si="561"/>
        <v>ok</v>
      </c>
    </row>
    <row r="972" spans="1:13">
      <c r="A972" s="128"/>
      <c r="B972" s="131" t="s">
        <v>817</v>
      </c>
      <c r="C972" s="129">
        <f>SUMIFS('Lleoliadau Cyflwyno'!$N:$N,'Lleoliadau Cyflwyno'!$E:$E,"drama",'Lleoliadau Cyflwyno'!$D:$D,"Amatur",'Lleoliadau Cyflwyno'!$F:$F,"Ie")</f>
        <v>0</v>
      </c>
      <c r="D972" s="102">
        <f t="shared" si="546"/>
        <v>1</v>
      </c>
      <c r="E972" s="14"/>
      <c r="F972" s="14"/>
      <c r="G972" s="14"/>
      <c r="H972" s="14"/>
      <c r="I972" s="14"/>
      <c r="J972" s="14"/>
      <c r="K972" s="100"/>
      <c r="L972" s="102">
        <f t="shared" si="542"/>
        <v>1</v>
      </c>
      <c r="M972" s="102" t="str">
        <f t="shared" ref="M972" si="562">IF(C971&lt;=C972,"ok","wrong")</f>
        <v>ok</v>
      </c>
    </row>
    <row r="973" spans="1:13" ht="15">
      <c r="A973" s="128"/>
      <c r="B973" s="130" t="s">
        <v>818</v>
      </c>
      <c r="C973" s="129">
        <f>COUNTIFS('Lleoliadau Cyflwyno'!E:$E,"Drama",'Lleoliadau Cyflwyno'!$D:$D,"Amatur",'Lleoliadau Cyflwyno'!$G:$G,"Ie")</f>
        <v>0</v>
      </c>
      <c r="D973" s="102">
        <f t="shared" si="546"/>
        <v>1</v>
      </c>
      <c r="E973" s="14"/>
      <c r="F973" s="14"/>
      <c r="G973" s="14"/>
      <c r="H973" s="14"/>
      <c r="I973" s="14"/>
      <c r="J973" s="14"/>
      <c r="K973" s="100"/>
      <c r="L973" s="102">
        <f t="shared" si="542"/>
        <v>1</v>
      </c>
      <c r="M973" s="102" t="str">
        <f t="shared" ref="M973:M974" si="563">IF(AND(C973&gt;=0.1,SUM(C974)&gt;=C973),"ok",IF(AND(C973=0,SUM(C974)=0),"ok",IF(AND(C973&gt;0.1,SUM(C974)=0),"wrong",IF(AND(C973=0,SUM(C974)&gt;0.1),"wrong"))))</f>
        <v>ok</v>
      </c>
    </row>
    <row r="974" spans="1:13">
      <c r="A974" s="128"/>
      <c r="B974" s="131" t="s">
        <v>819</v>
      </c>
      <c r="C974" s="129">
        <f>SUMIFS('Lleoliadau Cyflwyno'!$M:$M,'Lleoliadau Cyflwyno'!$E:$E,"drama",'Lleoliadau Cyflwyno'!$D:$D,"Amatur",'Lleoliadau Cyflwyno'!$G:$G,"Ie")</f>
        <v>0</v>
      </c>
      <c r="D974" s="102">
        <f t="shared" si="546"/>
        <v>1</v>
      </c>
      <c r="E974" s="14"/>
      <c r="F974" s="14"/>
      <c r="G974" s="14"/>
      <c r="H974" s="14"/>
      <c r="I974" s="14"/>
      <c r="J974" s="14"/>
      <c r="K974" s="100"/>
      <c r="L974" s="102">
        <f t="shared" si="542"/>
        <v>1</v>
      </c>
      <c r="M974" s="102" t="str">
        <f t="shared" si="563"/>
        <v>ok</v>
      </c>
    </row>
    <row r="975" spans="1:13">
      <c r="A975" s="128"/>
      <c r="B975" s="131" t="s">
        <v>820</v>
      </c>
      <c r="C975" s="129">
        <f>SUMIFS('Lleoliadau Cyflwyno'!$M:$M,'Lleoliadau Cyflwyno'!$D:$D,"drama",'Lleoliadau Cyflwyno'!$C:$C,"Amatur",'Lleoliadau Cyflwyno'!$F:$F,"Ie")</f>
        <v>0</v>
      </c>
      <c r="D975" s="102">
        <f t="shared" si="546"/>
        <v>1</v>
      </c>
      <c r="E975" s="14"/>
      <c r="F975" s="14"/>
      <c r="G975" s="14"/>
      <c r="H975" s="14"/>
      <c r="I975" s="14"/>
      <c r="J975" s="14"/>
      <c r="K975" s="100"/>
      <c r="L975" s="102">
        <f t="shared" si="542"/>
        <v>1</v>
      </c>
      <c r="M975" s="102" t="str">
        <f t="shared" ref="M975" si="564">IF(C974&lt;=C975,"ok","wrong")</f>
        <v>ok</v>
      </c>
    </row>
    <row r="976" spans="1:13" ht="15">
      <c r="A976" s="128"/>
      <c r="B976" s="130" t="s">
        <v>821</v>
      </c>
      <c r="C976" s="129">
        <f>COUNTIFS('Lleoliadau Cyflwyno'!$E:$E,"Drama",'Lleoliadau Cyflwyno'!$D:$D,"Amatur",'Lleoliadau Cyflwyno'!$H:$H,"Ie")</f>
        <v>0</v>
      </c>
      <c r="D976" s="102">
        <f t="shared" si="546"/>
        <v>1</v>
      </c>
      <c r="E976" s="14"/>
      <c r="F976" s="14"/>
      <c r="G976" s="14"/>
      <c r="H976" s="14"/>
      <c r="I976" s="14"/>
      <c r="J976" s="14"/>
      <c r="K976" s="100"/>
      <c r="L976" s="102">
        <f t="shared" si="542"/>
        <v>1</v>
      </c>
      <c r="M976" s="102" t="str">
        <f t="shared" ref="M976:M977" si="565">IF(AND(C976&gt;=0.1,SUM(C977)&gt;=C976),"ok",IF(AND(C976=0,SUM(C977)=0),"ok",IF(AND(C976&gt;0.1,SUM(C977)=0),"wrong",IF(AND(C976=0,SUM(C977)&gt;0.1),"wrong"))))</f>
        <v>ok</v>
      </c>
    </row>
    <row r="977" spans="1:13">
      <c r="A977" s="128"/>
      <c r="B977" s="131" t="s">
        <v>822</v>
      </c>
      <c r="C977" s="129">
        <f>SUMIFS('Lleoliadau Cyflwyno'!$M:$M,'Lleoliadau Cyflwyno'!$E:$E,"drama",'Lleoliadau Cyflwyno'!$D:$D,"Amatur",'Lleoliadau Cyflwyno'!$H:$H,"Ie")</f>
        <v>0</v>
      </c>
      <c r="D977" s="102">
        <f t="shared" si="546"/>
        <v>1</v>
      </c>
      <c r="E977" s="14"/>
      <c r="F977" s="14"/>
      <c r="G977" s="14"/>
      <c r="H977" s="14"/>
      <c r="I977" s="14"/>
      <c r="J977" s="14"/>
      <c r="K977" s="100"/>
      <c r="L977" s="102">
        <f t="shared" si="542"/>
        <v>1</v>
      </c>
      <c r="M977" s="102" t="str">
        <f t="shared" si="565"/>
        <v>ok</v>
      </c>
    </row>
    <row r="978" spans="1:13">
      <c r="A978" s="128"/>
      <c r="B978" s="131" t="s">
        <v>823</v>
      </c>
      <c r="C978" s="129">
        <f>SUMIFS('Lleoliadau Cyflwyno'!$N:$N,'Lleoliadau Cyflwyno'!$E:$E,"drama",'Lleoliadau Cyflwyno'!$D:$D,"Amatur",'Lleoliadau Cyflwyno'!$H:$H,"Ie")</f>
        <v>0</v>
      </c>
      <c r="D978" s="102">
        <f t="shared" si="546"/>
        <v>1</v>
      </c>
      <c r="E978" s="14"/>
      <c r="F978" s="14"/>
      <c r="G978" s="14"/>
      <c r="H978" s="14"/>
      <c r="I978" s="14"/>
      <c r="J978" s="14"/>
      <c r="K978" s="100"/>
      <c r="L978" s="102">
        <f t="shared" si="542"/>
        <v>1</v>
      </c>
      <c r="M978" s="102" t="str">
        <f t="shared" ref="M978" si="566">IF(C977&lt;=C978,"ok","wrong")</f>
        <v>ok</v>
      </c>
    </row>
    <row r="979" spans="1:13" ht="15">
      <c r="A979" s="128"/>
      <c r="B979" s="130" t="s">
        <v>824</v>
      </c>
      <c r="C979" s="129">
        <f>COUNTIFS('Lleoliadau Cyflwyno'!$E:$E,"Drama",'Lleoliadau Cyflwyno'!$D:$D,"Amatur",'Lleoliadau Cyflwyno'!$I:$I,"Ie")</f>
        <v>0</v>
      </c>
      <c r="D979" s="102">
        <f t="shared" si="546"/>
        <v>1</v>
      </c>
      <c r="E979" s="14"/>
      <c r="F979" s="14"/>
      <c r="G979" s="14"/>
      <c r="H979" s="14"/>
      <c r="I979" s="14"/>
      <c r="J979" s="14"/>
      <c r="K979" s="100"/>
      <c r="L979" s="102">
        <f t="shared" si="542"/>
        <v>1</v>
      </c>
      <c r="M979" s="102" t="str">
        <f t="shared" ref="M979:M980" si="567">IF(AND(C979&gt;=0.1,SUM(C980)&gt;=C979),"ok",IF(AND(C979=0,SUM(C980)=0),"ok",IF(AND(C979&gt;0.1,SUM(C980)=0),"wrong",IF(AND(C979=0,SUM(C980)&gt;0.1),"wrong"))))</f>
        <v>ok</v>
      </c>
    </row>
    <row r="980" spans="1:13">
      <c r="A980" s="128"/>
      <c r="B980" s="131" t="s">
        <v>825</v>
      </c>
      <c r="C980" s="129">
        <f>SUMIFS('Lleoliadau Cyflwyno'!$M:$M,'Lleoliadau Cyflwyno'!$E:$E,"drama",'Lleoliadau Cyflwyno'!$D:$D,"Amatur",'Lleoliadau Cyflwyno'!$I:$I,"Ie")</f>
        <v>0</v>
      </c>
      <c r="D980" s="102">
        <f t="shared" si="546"/>
        <v>1</v>
      </c>
      <c r="E980" s="14"/>
      <c r="F980" s="14"/>
      <c r="G980" s="14"/>
      <c r="H980" s="14"/>
      <c r="I980" s="14"/>
      <c r="J980" s="14"/>
      <c r="K980" s="100"/>
      <c r="L980" s="102">
        <f t="shared" si="542"/>
        <v>1</v>
      </c>
      <c r="M980" s="102" t="str">
        <f t="shared" si="567"/>
        <v>ok</v>
      </c>
    </row>
    <row r="981" spans="1:13">
      <c r="A981" s="128"/>
      <c r="B981" s="131" t="s">
        <v>826</v>
      </c>
      <c r="C981" s="129">
        <f>SUMIFS('Lleoliadau Cyflwyno'!$N:$N,'Lleoliadau Cyflwyno'!$E:$E,"drama",'Lleoliadau Cyflwyno'!$D:$D,"Amatur",'Lleoliadau Cyflwyno'!$I:$I,"Ie")</f>
        <v>0</v>
      </c>
      <c r="D981" s="102">
        <f t="shared" si="546"/>
        <v>1</v>
      </c>
      <c r="E981" s="14"/>
      <c r="F981" s="14"/>
      <c r="G981" s="14"/>
      <c r="H981" s="14"/>
      <c r="I981" s="14"/>
      <c r="J981" s="14"/>
      <c r="K981" s="100"/>
      <c r="L981" s="102">
        <f t="shared" si="542"/>
        <v>1</v>
      </c>
      <c r="M981" s="102" t="str">
        <f t="shared" ref="M981" si="568">IF(C980&lt;=C981,"ok","wrong")</f>
        <v>ok</v>
      </c>
    </row>
    <row r="982" spans="1:13" ht="15">
      <c r="A982" s="128"/>
      <c r="B982" s="130" t="s">
        <v>827</v>
      </c>
      <c r="C982" s="129">
        <f>COUNTIFS('Lleoliadau Cyflwyno'!$E:$E,"Drama",'Lleoliadau Cyflwyno'!$D:$D,"Amatur",'Lleoliadau Cyflwyno'!$J:$J,"Ie")</f>
        <v>0</v>
      </c>
      <c r="D982" s="102">
        <f t="shared" si="546"/>
        <v>1</v>
      </c>
      <c r="E982" s="14"/>
      <c r="F982" s="14"/>
      <c r="G982" s="14"/>
      <c r="H982" s="14"/>
      <c r="I982" s="14"/>
      <c r="J982" s="14"/>
      <c r="K982" s="100"/>
      <c r="L982" s="102">
        <f t="shared" si="542"/>
        <v>1</v>
      </c>
      <c r="M982" s="102" t="str">
        <f t="shared" ref="M982:M983" si="569">IF(AND(C982&gt;=0.1,SUM(C983)&gt;=C982),"ok",IF(AND(C982=0,SUM(C983)=0),"ok",IF(AND(C982&gt;0.1,SUM(C983)=0),"wrong",IF(AND(C982=0,SUM(C983)&gt;0.1),"wrong"))))</f>
        <v>ok</v>
      </c>
    </row>
    <row r="983" spans="1:13">
      <c r="A983" s="128"/>
      <c r="B983" s="131" t="s">
        <v>828</v>
      </c>
      <c r="C983" s="129">
        <f>SUMIFS('Lleoliadau Cyflwyno'!$M:$M,'Lleoliadau Cyflwyno'!$E:$E,"drama",'Lleoliadau Cyflwyno'!$D:$D,"Amatur",'Lleoliadau Cyflwyno'!$J:$J,"Ie")</f>
        <v>0</v>
      </c>
      <c r="D983" s="102">
        <f t="shared" si="546"/>
        <v>1</v>
      </c>
      <c r="E983" s="14"/>
      <c r="F983" s="14"/>
      <c r="G983" s="14"/>
      <c r="H983" s="14"/>
      <c r="I983" s="14"/>
      <c r="J983" s="14"/>
      <c r="K983" s="100"/>
      <c r="L983" s="102">
        <f t="shared" si="542"/>
        <v>1</v>
      </c>
      <c r="M983" s="102" t="str">
        <f t="shared" si="569"/>
        <v>ok</v>
      </c>
    </row>
    <row r="984" spans="1:13">
      <c r="A984" s="128"/>
      <c r="B984" s="131" t="s">
        <v>829</v>
      </c>
      <c r="C984" s="129">
        <f>SUMIFS('Lleoliadau Cyflwyno'!$N:$N,'Lleoliadau Cyflwyno'!$E:$E,"drama",'Lleoliadau Cyflwyno'!$D:$D,"Amatur",'Lleoliadau Cyflwyno'!$J:$J,"Ie")</f>
        <v>0</v>
      </c>
      <c r="D984" s="102">
        <f t="shared" si="546"/>
        <v>1</v>
      </c>
      <c r="E984" s="14"/>
      <c r="F984" s="14"/>
      <c r="G984" s="14"/>
      <c r="H984" s="14"/>
      <c r="I984" s="14"/>
      <c r="J984" s="14"/>
      <c r="K984" s="100"/>
      <c r="L984" s="102">
        <f t="shared" si="542"/>
        <v>1</v>
      </c>
      <c r="M984" s="102" t="str">
        <f t="shared" ref="M984" si="570">IF(C983&lt;=C984,"ok","wrong")</f>
        <v>ok</v>
      </c>
    </row>
    <row r="985" spans="1:13" ht="15">
      <c r="A985" s="128"/>
      <c r="B985" s="130" t="s">
        <v>830</v>
      </c>
      <c r="C985" s="129">
        <f>COUNTIFS('Lleoliadau Cyflwyno'!$E:$E,"Drama",'Lleoliadau Cyflwyno'!$D:$D,"Amatur",'Lleoliadau Cyflwyno'!$K:$K,"Ie")</f>
        <v>0</v>
      </c>
      <c r="D985" s="102">
        <f t="shared" si="546"/>
        <v>1</v>
      </c>
      <c r="E985" s="14"/>
      <c r="F985" s="14"/>
      <c r="G985" s="14"/>
      <c r="H985" s="14"/>
      <c r="I985" s="14"/>
      <c r="J985" s="14"/>
      <c r="K985" s="100"/>
      <c r="L985" s="102">
        <f t="shared" si="542"/>
        <v>1</v>
      </c>
      <c r="M985" s="102" t="str">
        <f t="shared" ref="M985:M986" si="571">IF(AND(C985&gt;=0.1,SUM(C986)&gt;=C985),"ok",IF(AND(C985=0,SUM(C986)=0),"ok",IF(AND(C985&gt;0.1,SUM(C986)=0),"wrong",IF(AND(C985=0,SUM(C986)&gt;0.1),"wrong"))))</f>
        <v>ok</v>
      </c>
    </row>
    <row r="986" spans="1:13" ht="29">
      <c r="A986" s="128"/>
      <c r="B986" s="131" t="s">
        <v>831</v>
      </c>
      <c r="C986" s="129">
        <f>SUMIFS('Lleoliadau Cyflwyno'!$M:$M,'Lleoliadau Cyflwyno'!$E:$E,"drama",'Lleoliadau Cyflwyno'!$D:$D,"Amatur",'Lleoliadau Cyflwyno'!$K:$K,"Ie")</f>
        <v>0</v>
      </c>
      <c r="D986" s="102">
        <f t="shared" si="546"/>
        <v>1</v>
      </c>
      <c r="E986" s="14"/>
      <c r="F986" s="14"/>
      <c r="G986" s="14"/>
      <c r="H986" s="14"/>
      <c r="I986" s="14"/>
      <c r="J986" s="14"/>
      <c r="K986" s="100"/>
      <c r="L986" s="102">
        <f t="shared" si="542"/>
        <v>1</v>
      </c>
      <c r="M986" s="102" t="str">
        <f t="shared" si="571"/>
        <v>ok</v>
      </c>
    </row>
    <row r="987" spans="1:13" ht="29">
      <c r="A987" s="128"/>
      <c r="B987" s="131" t="s">
        <v>832</v>
      </c>
      <c r="C987" s="129">
        <f>SUMIFS('Lleoliadau Cyflwyno'!$N:$N,'Lleoliadau Cyflwyno'!$E:$E,"drama",'Lleoliadau Cyflwyno'!$D:$D,"Amatur",'Lleoliadau Cyflwyno'!$K:$K,"Ie")</f>
        <v>0</v>
      </c>
      <c r="D987" s="102">
        <f t="shared" si="546"/>
        <v>1</v>
      </c>
      <c r="E987" s="14"/>
      <c r="F987" s="14"/>
      <c r="G987" s="14"/>
      <c r="H987" s="14"/>
      <c r="I987" s="14"/>
      <c r="J987" s="14"/>
      <c r="K987" s="100"/>
      <c r="L987" s="102">
        <f t="shared" si="542"/>
        <v>1</v>
      </c>
      <c r="M987" s="102" t="str">
        <f t="shared" ref="M987" si="572">IF(C986&lt;=C987,"ok","wrong")</f>
        <v>ok</v>
      </c>
    </row>
    <row r="988" spans="1:13" ht="15">
      <c r="A988" s="128" t="s">
        <v>833</v>
      </c>
      <c r="B988" s="130" t="s">
        <v>797</v>
      </c>
      <c r="C988" s="129">
        <f>COUNTIFS('Lleoliadau Cyflwyno'!$E:$E,"Amlddisgyblaethol",'Lleoliadau Cyflwyno'!$D:$D,"Proffesiynol",'Lleoliadau Cyflwyno'!$F:$F,"Ie")</f>
        <v>0</v>
      </c>
      <c r="D988" s="102">
        <f t="shared" si="546"/>
        <v>1</v>
      </c>
      <c r="E988" s="14"/>
      <c r="F988" s="14"/>
      <c r="G988" s="14"/>
      <c r="H988" s="14"/>
      <c r="I988" s="14"/>
      <c r="J988" s="14"/>
      <c r="K988" s="100"/>
      <c r="L988" s="102">
        <f t="shared" si="542"/>
        <v>1</v>
      </c>
      <c r="M988" s="102" t="str">
        <f t="shared" ref="M988:M989" si="573">IF(AND(C988&gt;=0.1,SUM(C989)&gt;=C988),"ok",IF(AND(C988=0,SUM(C989)=0),"ok",IF(AND(C988&gt;0.1,SUM(C989)=0),"wrong",IF(AND(C988=0,SUM(C989)&gt;0.1),"wrong"))))</f>
        <v>ok</v>
      </c>
    </row>
    <row r="989" spans="1:13">
      <c r="A989" s="128"/>
      <c r="B989" s="131" t="s">
        <v>798</v>
      </c>
      <c r="C989" s="129">
        <f>SUMIFS('Lleoliadau Cyflwyno'!$M:$M,'Lleoliadau Cyflwyno'!$E:$E,"Amlddisgyblaethol",'Lleoliadau Cyflwyno'!$D:$D,"Proffesiynol",'Lleoliadau Cyflwyno'!$F:$F,"Ie")</f>
        <v>0</v>
      </c>
      <c r="D989" s="102">
        <f t="shared" si="546"/>
        <v>1</v>
      </c>
      <c r="E989" s="14"/>
      <c r="F989" s="14"/>
      <c r="G989" s="14"/>
      <c r="H989" s="14"/>
      <c r="I989" s="14"/>
      <c r="J989" s="14"/>
      <c r="K989" s="100"/>
      <c r="L989" s="102">
        <f t="shared" si="542"/>
        <v>1</v>
      </c>
      <c r="M989" s="102" t="str">
        <f t="shared" si="573"/>
        <v>ok</v>
      </c>
    </row>
    <row r="990" spans="1:13">
      <c r="A990" s="128"/>
      <c r="B990" s="131" t="s">
        <v>799</v>
      </c>
      <c r="C990" s="129">
        <f>SUMIFS('Lleoliadau Cyflwyno'!$N:$N,'Lleoliadau Cyflwyno'!$E:$E,"Amlddisgyblaethol",'Lleoliadau Cyflwyno'!$D:$D,"Proffesiynol",'Lleoliadau Cyflwyno'!$F:$F,"Ie")</f>
        <v>0</v>
      </c>
      <c r="D990" s="102">
        <f t="shared" si="546"/>
        <v>1</v>
      </c>
      <c r="E990" s="14"/>
      <c r="F990" s="14"/>
      <c r="G990" s="14"/>
      <c r="H990" s="14"/>
      <c r="I990" s="14"/>
      <c r="J990" s="14"/>
      <c r="K990" s="100"/>
      <c r="L990" s="102">
        <f t="shared" si="542"/>
        <v>1</v>
      </c>
      <c r="M990" s="102" t="str">
        <f t="shared" ref="M990" si="574">IF(C989&lt;=C990,"ok","wrong")</f>
        <v>ok</v>
      </c>
    </row>
    <row r="991" spans="1:13" ht="15">
      <c r="A991" s="128"/>
      <c r="B991" s="130" t="s">
        <v>800</v>
      </c>
      <c r="C991" s="129">
        <f>COUNTIFS('Lleoliadau Cyflwyno'!$E:$E,"Amlddisgyblaethol",'Lleoliadau Cyflwyno'!$D:$D,"Proffesiynol",'Lleoliadau Cyflwyno'!$G:$G,"Ie")</f>
        <v>0</v>
      </c>
      <c r="D991" s="102">
        <f t="shared" si="546"/>
        <v>1</v>
      </c>
      <c r="E991" s="14"/>
      <c r="F991" s="14"/>
      <c r="G991" s="14"/>
      <c r="H991" s="14"/>
      <c r="I991" s="14"/>
      <c r="J991" s="14"/>
      <c r="K991" s="100"/>
      <c r="L991" s="102">
        <f t="shared" si="542"/>
        <v>1</v>
      </c>
      <c r="M991" s="102" t="str">
        <f t="shared" ref="M991:M992" si="575">IF(AND(C991&gt;=0.1,SUM(C992)&gt;=C991),"ok",IF(AND(C991=0,SUM(C992)=0),"ok",IF(AND(C991&gt;0.1,SUM(C992)=0),"wrong",IF(AND(C991=0,SUM(C992)&gt;0.1),"wrong"))))</f>
        <v>ok</v>
      </c>
    </row>
    <row r="992" spans="1:13">
      <c r="A992" s="128"/>
      <c r="B992" s="131" t="s">
        <v>801</v>
      </c>
      <c r="C992" s="129">
        <f>SUMIFS('Lleoliadau Cyflwyno'!$M:$M,'Lleoliadau Cyflwyno'!$E:$E,"Amlddisgyblaethol",'Lleoliadau Cyflwyno'!$D:$D,"Proffesiynol",'Lleoliadau Cyflwyno'!$G:$G,"Ie")</f>
        <v>0</v>
      </c>
      <c r="D992" s="102">
        <f t="shared" si="546"/>
        <v>1</v>
      </c>
      <c r="E992" s="14"/>
      <c r="F992" s="14"/>
      <c r="G992" s="14"/>
      <c r="H992" s="14"/>
      <c r="I992" s="14"/>
      <c r="J992" s="14"/>
      <c r="K992" s="100"/>
      <c r="L992" s="102">
        <f t="shared" si="542"/>
        <v>1</v>
      </c>
      <c r="M992" s="102" t="str">
        <f t="shared" si="575"/>
        <v>ok</v>
      </c>
    </row>
    <row r="993" spans="1:13">
      <c r="A993" s="128"/>
      <c r="B993" s="131" t="s">
        <v>802</v>
      </c>
      <c r="C993" s="129">
        <f>SUMIFS('Lleoliadau Cyflwyno'!$N:$N,'Lleoliadau Cyflwyno'!$E:$E,"Amlddisgyblaethol",'Lleoliadau Cyflwyno'!$D:$D,"Proffesiynol",'Lleoliadau Cyflwyno'!$G:$G,"Ie")</f>
        <v>0</v>
      </c>
      <c r="D993" s="102">
        <f t="shared" si="546"/>
        <v>1</v>
      </c>
      <c r="E993" s="14"/>
      <c r="F993" s="14"/>
      <c r="G993" s="14"/>
      <c r="H993" s="14"/>
      <c r="I993" s="14"/>
      <c r="J993" s="14"/>
      <c r="K993" s="100"/>
      <c r="L993" s="102">
        <f t="shared" si="542"/>
        <v>1</v>
      </c>
      <c r="M993" s="102" t="str">
        <f t="shared" ref="M993" si="576">IF(C992&lt;=C993,"ok","wrong")</f>
        <v>ok</v>
      </c>
    </row>
    <row r="994" spans="1:13" ht="15">
      <c r="A994" s="128"/>
      <c r="B994" s="130" t="s">
        <v>803</v>
      </c>
      <c r="C994" s="129">
        <f>COUNTIFS('Lleoliadau Cyflwyno'!$E:$E,"Amlddisgyblaethol",'Lleoliadau Cyflwyno'!$D:$D,"Proffesiynol",'Lleoliadau Cyflwyno'!$H:$H,"Ie")</f>
        <v>0</v>
      </c>
      <c r="D994" s="102">
        <f t="shared" si="546"/>
        <v>1</v>
      </c>
      <c r="E994" s="14"/>
      <c r="F994" s="14"/>
      <c r="G994" s="14"/>
      <c r="H994" s="14"/>
      <c r="I994" s="14"/>
      <c r="J994" s="14"/>
      <c r="K994" s="100"/>
      <c r="L994" s="102">
        <f t="shared" si="542"/>
        <v>1</v>
      </c>
      <c r="M994" s="102" t="str">
        <f t="shared" ref="M994:M995" si="577">IF(AND(C994&gt;=0.1,SUM(C995)&gt;=C994),"ok",IF(AND(C994=0,SUM(C995)=0),"ok",IF(AND(C994&gt;0.1,SUM(C995)=0),"wrong",IF(AND(C994=0,SUM(C995)&gt;0.1),"wrong"))))</f>
        <v>ok</v>
      </c>
    </row>
    <row r="995" spans="1:13">
      <c r="A995" s="128"/>
      <c r="B995" s="131" t="s">
        <v>804</v>
      </c>
      <c r="C995" s="129">
        <f>SUMIFS('Lleoliadau Cyflwyno'!$M:$M,'Lleoliadau Cyflwyno'!$E:$E,"Amlddisgyblaethol",'Lleoliadau Cyflwyno'!$F:$F,"Proffesiynol",'Lleoliadau Cyflwyno'!$H:$H,"Ie")</f>
        <v>0</v>
      </c>
      <c r="D995" s="102">
        <f t="shared" si="546"/>
        <v>1</v>
      </c>
      <c r="E995" s="14"/>
      <c r="F995" s="14"/>
      <c r="G995" s="14"/>
      <c r="H995" s="14"/>
      <c r="I995" s="14"/>
      <c r="J995" s="14"/>
      <c r="K995" s="100"/>
      <c r="L995" s="102">
        <f t="shared" si="542"/>
        <v>1</v>
      </c>
      <c r="M995" s="102" t="str">
        <f t="shared" si="577"/>
        <v>ok</v>
      </c>
    </row>
    <row r="996" spans="1:13">
      <c r="A996" s="128"/>
      <c r="B996" s="131" t="s">
        <v>805</v>
      </c>
      <c r="C996" s="129">
        <f>SUMIFS('Lleoliadau Cyflwyno'!$N:$N,'Lleoliadau Cyflwyno'!$E:$E,"Amlddisgyblaethol",'Lleoliadau Cyflwyno'!$D:$D,"Proffesiynol",'Lleoliadau Cyflwyno'!$H:$H,"Ie")</f>
        <v>0</v>
      </c>
      <c r="D996" s="102">
        <f t="shared" si="546"/>
        <v>1</v>
      </c>
      <c r="E996" s="14"/>
      <c r="F996" s="14"/>
      <c r="G996" s="14"/>
      <c r="H996" s="14"/>
      <c r="I996" s="14"/>
      <c r="J996" s="14"/>
      <c r="K996" s="100"/>
      <c r="L996" s="102">
        <f t="shared" si="542"/>
        <v>1</v>
      </c>
      <c r="M996" s="102" t="str">
        <f t="shared" ref="M996" si="578">IF(C995&lt;=C996,"ok","wrong")</f>
        <v>ok</v>
      </c>
    </row>
    <row r="997" spans="1:13" ht="15">
      <c r="A997" s="128"/>
      <c r="B997" s="130" t="s">
        <v>806</v>
      </c>
      <c r="C997" s="129">
        <f>COUNTIFS('Lleoliadau Cyflwyno'!$E:$E,"Amlddisgyblaethol",'Lleoliadau Cyflwyno'!$D:$D,"Proffesiynol",'Lleoliadau Cyflwyno'!$I:$I,"Ie")</f>
        <v>0</v>
      </c>
      <c r="D997" s="102">
        <f t="shared" si="546"/>
        <v>1</v>
      </c>
      <c r="E997" s="14"/>
      <c r="F997" s="14"/>
      <c r="G997" s="14"/>
      <c r="H997" s="14"/>
      <c r="I997" s="14"/>
      <c r="J997" s="14"/>
      <c r="K997" s="100"/>
      <c r="L997" s="102">
        <f t="shared" si="542"/>
        <v>1</v>
      </c>
      <c r="M997" s="102" t="str">
        <f t="shared" ref="M997:M998" si="579">IF(AND(C997&gt;=0.1,SUM(C998)&gt;=C997),"ok",IF(AND(C997=0,SUM(C998)=0),"ok",IF(AND(C997&gt;0.1,SUM(C998)=0),"wrong",IF(AND(C997=0,SUM(C998)&gt;0.1),"wrong"))))</f>
        <v>ok</v>
      </c>
    </row>
    <row r="998" spans="1:13">
      <c r="A998" s="128"/>
      <c r="B998" s="131" t="s">
        <v>807</v>
      </c>
      <c r="C998" s="129">
        <f>SUMIFS('Lleoliadau Cyflwyno'!$M:$M,'Lleoliadau Cyflwyno'!$E:$E,"Amlddisgyblaethol",'Lleoliadau Cyflwyno'!$D:$D,"Proffesiynol",'Lleoliadau Cyflwyno'!$I:$I,"Ie")</f>
        <v>0</v>
      </c>
      <c r="D998" s="102">
        <f t="shared" si="546"/>
        <v>1</v>
      </c>
      <c r="E998" s="14"/>
      <c r="F998" s="14"/>
      <c r="G998" s="14"/>
      <c r="H998" s="14"/>
      <c r="I998" s="14"/>
      <c r="J998" s="14"/>
      <c r="K998" s="100"/>
      <c r="L998" s="102">
        <f t="shared" si="542"/>
        <v>1</v>
      </c>
      <c r="M998" s="102" t="str">
        <f t="shared" si="579"/>
        <v>ok</v>
      </c>
    </row>
    <row r="999" spans="1:13" ht="29">
      <c r="A999" s="128"/>
      <c r="B999" s="131" t="s">
        <v>808</v>
      </c>
      <c r="C999" s="129">
        <f>SUMIFS('Lleoliadau Cyflwyno'!$N:$N,'Lleoliadau Cyflwyno'!$E:$E,"Amlddisgyblaethol",'Lleoliadau Cyflwyno'!$D:$D,"Proffesiynol",'Lleoliadau Cyflwyno'!$I:$I,"Ie")</f>
        <v>0</v>
      </c>
      <c r="D999" s="102">
        <f t="shared" si="546"/>
        <v>1</v>
      </c>
      <c r="E999" s="14"/>
      <c r="F999" s="14"/>
      <c r="G999" s="14"/>
      <c r="H999" s="14"/>
      <c r="I999" s="14"/>
      <c r="J999" s="14"/>
      <c r="K999" s="100"/>
      <c r="L999" s="102">
        <f t="shared" si="542"/>
        <v>1</v>
      </c>
      <c r="M999" s="102" t="str">
        <f t="shared" ref="M999" si="580">IF(C998&lt;=C999,"ok","wrong")</f>
        <v>ok</v>
      </c>
    </row>
    <row r="1000" spans="1:13" ht="15">
      <c r="A1000" s="128"/>
      <c r="B1000" s="130" t="s">
        <v>809</v>
      </c>
      <c r="C1000" s="129">
        <f>COUNTIFS('Lleoliadau Cyflwyno'!$E:$E,"Amlddisgyblaethol",'Lleoliadau Cyflwyno'!$D:$D,"Proffesiynol",'Lleoliadau Cyflwyno'!$J:$J,"Ie")</f>
        <v>0</v>
      </c>
      <c r="D1000" s="102">
        <f t="shared" si="546"/>
        <v>1</v>
      </c>
      <c r="E1000" s="14"/>
      <c r="F1000" s="14"/>
      <c r="G1000" s="14"/>
      <c r="H1000" s="14"/>
      <c r="I1000" s="14"/>
      <c r="J1000" s="14"/>
      <c r="K1000" s="100"/>
      <c r="L1000" s="102">
        <f t="shared" si="542"/>
        <v>1</v>
      </c>
      <c r="M1000" s="102" t="str">
        <f t="shared" ref="M1000:M1001" si="581">IF(AND(C1000&gt;=0.1,SUM(C1001)&gt;=C1000),"ok",IF(AND(C1000=0,SUM(C1001)=0),"ok",IF(AND(C1000&gt;0.1,SUM(C1001)=0),"wrong",IF(AND(C1000=0,SUM(C1001)&gt;0.1),"wrong"))))</f>
        <v>ok</v>
      </c>
    </row>
    <row r="1001" spans="1:13">
      <c r="A1001" s="128"/>
      <c r="B1001" s="131" t="s">
        <v>810</v>
      </c>
      <c r="C1001" s="129">
        <f>SUMIFS('Lleoliadau Cyflwyno'!$M:$M,'Lleoliadau Cyflwyno'!$E:$E,"Amlddisgyblaethol",'Lleoliadau Cyflwyno'!$D:$D,"Proffesiynol",'Lleoliadau Cyflwyno'!$J:$J,"Ie")</f>
        <v>0</v>
      </c>
      <c r="D1001" s="102">
        <f t="shared" si="546"/>
        <v>1</v>
      </c>
      <c r="E1001" s="14"/>
      <c r="F1001" s="14"/>
      <c r="G1001" s="14"/>
      <c r="H1001" s="14"/>
      <c r="I1001" s="14"/>
      <c r="J1001" s="14"/>
      <c r="K1001" s="100"/>
      <c r="L1001" s="102">
        <f t="shared" si="542"/>
        <v>1</v>
      </c>
      <c r="M1001" s="102" t="str">
        <f t="shared" si="581"/>
        <v>ok</v>
      </c>
    </row>
    <row r="1002" spans="1:13">
      <c r="A1002" s="128"/>
      <c r="B1002" s="131" t="s">
        <v>811</v>
      </c>
      <c r="C1002" s="129">
        <f>SUMIFS('Lleoliadau Cyflwyno'!$N:$N,'Lleoliadau Cyflwyno'!$E:$E,"Amlddisgyblaethol",'Lleoliadau Cyflwyno'!$D:$D,"Proffesiynol",'Lleoliadau Cyflwyno'!$J:$J,"Ie")</f>
        <v>0</v>
      </c>
      <c r="D1002" s="102">
        <f t="shared" si="546"/>
        <v>1</v>
      </c>
      <c r="E1002" s="14"/>
      <c r="F1002" s="14"/>
      <c r="G1002" s="14"/>
      <c r="H1002" s="14"/>
      <c r="I1002" s="14"/>
      <c r="J1002" s="14"/>
      <c r="K1002" s="100"/>
      <c r="L1002" s="102">
        <f t="shared" si="542"/>
        <v>1</v>
      </c>
      <c r="M1002" s="102" t="str">
        <f t="shared" ref="M1002" si="582">IF(C1001&lt;=C1002,"ok","wrong")</f>
        <v>ok</v>
      </c>
    </row>
    <row r="1003" spans="1:13" ht="15">
      <c r="A1003" s="128"/>
      <c r="B1003" s="130" t="s">
        <v>812</v>
      </c>
      <c r="C1003" s="129">
        <f>COUNTIFS('Lleoliadau Cyflwyno'!$E:$E,"Amlddisgyblaethol",'Lleoliadau Cyflwyno'!$D:$D,"Proffesiynol",'Lleoliadau Cyflwyno'!$K:$K,"Ie")</f>
        <v>0</v>
      </c>
      <c r="D1003" s="102">
        <f t="shared" si="546"/>
        <v>1</v>
      </c>
      <c r="E1003" s="14"/>
      <c r="F1003" s="14"/>
      <c r="G1003" s="14"/>
      <c r="H1003" s="14"/>
      <c r="I1003" s="14"/>
      <c r="J1003" s="14"/>
      <c r="K1003" s="100"/>
      <c r="L1003" s="102">
        <f t="shared" si="542"/>
        <v>1</v>
      </c>
      <c r="M1003" s="102" t="str">
        <f t="shared" ref="M1003:M1004" si="583">IF(AND(C1003&gt;=0.1,SUM(C1004)&gt;=C1003),"ok",IF(AND(C1003=0,SUM(C1004)=0),"ok",IF(AND(C1003&gt;0.1,SUM(C1004)=0),"wrong",IF(AND(C1003=0,SUM(C1004)&gt;0.1),"wrong"))))</f>
        <v>ok</v>
      </c>
    </row>
    <row r="1004" spans="1:13" ht="29">
      <c r="A1004" s="128"/>
      <c r="B1004" s="131" t="s">
        <v>813</v>
      </c>
      <c r="C1004" s="129">
        <f>SUMIFS('Lleoliadau Cyflwyno'!$M:$M,'Lleoliadau Cyflwyno'!$E:$E,"Amlddisgyblaethol",'Lleoliadau Cyflwyno'!$D:$D,"Proffesiynol",'Lleoliadau Cyflwyno'!$K:$K,"Ie")</f>
        <v>0</v>
      </c>
      <c r="D1004" s="102">
        <f t="shared" si="546"/>
        <v>1</v>
      </c>
      <c r="E1004" s="14"/>
      <c r="F1004" s="14"/>
      <c r="G1004" s="14"/>
      <c r="H1004" s="14"/>
      <c r="I1004" s="14"/>
      <c r="J1004" s="14"/>
      <c r="K1004" s="100"/>
      <c r="L1004" s="102">
        <f t="shared" ref="L1004:L1067" si="584">IF(M1004="ok",1,0)</f>
        <v>1</v>
      </c>
      <c r="M1004" s="102" t="str">
        <f t="shared" si="583"/>
        <v>ok</v>
      </c>
    </row>
    <row r="1005" spans="1:13" ht="29">
      <c r="A1005" s="128"/>
      <c r="B1005" s="131" t="s">
        <v>814</v>
      </c>
      <c r="C1005" s="129">
        <f>SUMIFS('Lleoliadau Cyflwyno'!$N:$N,'Lleoliadau Cyflwyno'!$E:$E,"Amlddisgyblaethol",'Lleoliadau Cyflwyno'!$D:$D,"Proffesiynol",'Lleoliadau Cyflwyno'!$K:$K,"Ie")</f>
        <v>0</v>
      </c>
      <c r="D1005" s="102">
        <f t="shared" si="546"/>
        <v>1</v>
      </c>
      <c r="E1005" s="14"/>
      <c r="F1005" s="14"/>
      <c r="G1005" s="14"/>
      <c r="H1005" s="14"/>
      <c r="I1005" s="14"/>
      <c r="J1005" s="14"/>
      <c r="K1005" s="100"/>
      <c r="L1005" s="102">
        <f t="shared" si="584"/>
        <v>1</v>
      </c>
      <c r="M1005" s="102" t="str">
        <f t="shared" ref="M1005" si="585">IF(C1004&lt;=C1005,"ok","wrong")</f>
        <v>ok</v>
      </c>
    </row>
    <row r="1006" spans="1:13" ht="15">
      <c r="A1006" s="128"/>
      <c r="B1006" s="130" t="s">
        <v>815</v>
      </c>
      <c r="C1006" s="129">
        <f>COUNTIFS('Lleoliadau Cyflwyno'!$E:$E,"Amlddisgyblaethol",'Lleoliadau Cyflwyno'!$D:$D,"Amatur",'Lleoliadau Cyflwyno'!$F:$F,"Ie")</f>
        <v>0</v>
      </c>
      <c r="D1006" s="102">
        <f t="shared" si="546"/>
        <v>1</v>
      </c>
      <c r="E1006" s="14"/>
      <c r="F1006" s="14"/>
      <c r="G1006" s="14"/>
      <c r="H1006" s="14"/>
      <c r="I1006" s="14"/>
      <c r="J1006" s="14"/>
      <c r="K1006" s="100"/>
      <c r="L1006" s="102">
        <f t="shared" si="584"/>
        <v>1</v>
      </c>
      <c r="M1006" s="102" t="str">
        <f t="shared" ref="M1006:M1007" si="586">IF(AND(C1006&gt;=0.1,SUM(C1007)&gt;=C1006),"ok",IF(AND(C1006=0,SUM(C1007)=0),"ok",IF(AND(C1006&gt;0.1,SUM(C1007)=0),"wrong",IF(AND(C1006=0,SUM(C1007)&gt;0.1),"wrong"))))</f>
        <v>ok</v>
      </c>
    </row>
    <row r="1007" spans="1:13">
      <c r="A1007" s="128"/>
      <c r="B1007" s="131" t="s">
        <v>816</v>
      </c>
      <c r="C1007" s="129">
        <f>SUMIFS('Lleoliadau Cyflwyno'!$M:$M,'Lleoliadau Cyflwyno'!$E:$E,"Amlddisgyblaethol",'Lleoliadau Cyflwyno'!$D:$D,"Amatur",'Lleoliadau Cyflwyno'!$F:$F,"Ie")</f>
        <v>0</v>
      </c>
      <c r="D1007" s="102">
        <f t="shared" si="546"/>
        <v>1</v>
      </c>
      <c r="E1007" s="14"/>
      <c r="F1007" s="14"/>
      <c r="G1007" s="14"/>
      <c r="H1007" s="14"/>
      <c r="I1007" s="14"/>
      <c r="J1007" s="14"/>
      <c r="K1007" s="100"/>
      <c r="L1007" s="102">
        <f t="shared" si="584"/>
        <v>1</v>
      </c>
      <c r="M1007" s="102" t="str">
        <f t="shared" si="586"/>
        <v>ok</v>
      </c>
    </row>
    <row r="1008" spans="1:13">
      <c r="A1008" s="128"/>
      <c r="B1008" s="131" t="s">
        <v>817</v>
      </c>
      <c r="C1008" s="129">
        <f>SUMIFS('Lleoliadau Cyflwyno'!$N:$N,'Lleoliadau Cyflwyno'!$E:$E,"Amlddisgyblaethol",'Lleoliadau Cyflwyno'!$D:$D,"Amatur",'Lleoliadau Cyflwyno'!$F:$F,"Ie")</f>
        <v>0</v>
      </c>
      <c r="D1008" s="102">
        <f t="shared" si="546"/>
        <v>1</v>
      </c>
      <c r="E1008" s="14"/>
      <c r="F1008" s="14"/>
      <c r="G1008" s="14"/>
      <c r="H1008" s="14"/>
      <c r="I1008" s="14"/>
      <c r="J1008" s="14"/>
      <c r="K1008" s="100"/>
      <c r="L1008" s="102">
        <f t="shared" si="584"/>
        <v>1</v>
      </c>
      <c r="M1008" s="102" t="str">
        <f t="shared" ref="M1008" si="587">IF(C1007&lt;=C1008,"ok","wrong")</f>
        <v>ok</v>
      </c>
    </row>
    <row r="1009" spans="1:13" ht="15">
      <c r="A1009" s="128"/>
      <c r="B1009" s="130" t="s">
        <v>818</v>
      </c>
      <c r="C1009" s="129">
        <f>COUNTIFS('Lleoliadau Cyflwyno'!$E:$E,"Amlddisgyblaethol",'Lleoliadau Cyflwyno'!$D:$D,"Amatur",'Lleoliadau Cyflwyno'!$G:$G,"Ie")</f>
        <v>0</v>
      </c>
      <c r="D1009" s="102">
        <f t="shared" si="546"/>
        <v>1</v>
      </c>
      <c r="E1009" s="14"/>
      <c r="F1009" s="14"/>
      <c r="G1009" s="14"/>
      <c r="H1009" s="14"/>
      <c r="I1009" s="14"/>
      <c r="J1009" s="14"/>
      <c r="K1009" s="100"/>
      <c r="L1009" s="102">
        <f t="shared" si="584"/>
        <v>1</v>
      </c>
      <c r="M1009" s="102" t="str">
        <f t="shared" ref="M1009:M1010" si="588">IF(AND(C1009&gt;=0.1,SUM(C1010)&gt;=C1009),"ok",IF(AND(C1009=0,SUM(C1010)=0),"ok",IF(AND(C1009&gt;0.1,SUM(C1010)=0),"wrong",IF(AND(C1009=0,SUM(C1010)&gt;0.1),"wrong"))))</f>
        <v>ok</v>
      </c>
    </row>
    <row r="1010" spans="1:13">
      <c r="A1010" s="128"/>
      <c r="B1010" s="131" t="s">
        <v>819</v>
      </c>
      <c r="C1010" s="129">
        <f>SUMIFS('Lleoliadau Cyflwyno'!$M:$M,'Lleoliadau Cyflwyno'!$E:$E,"Amlddisgyblaethol",'Lleoliadau Cyflwyno'!$D:$D,"Amatur",'Lleoliadau Cyflwyno'!$G:$G,"Ie")</f>
        <v>0</v>
      </c>
      <c r="D1010" s="102">
        <f t="shared" si="546"/>
        <v>1</v>
      </c>
      <c r="E1010" s="14"/>
      <c r="F1010" s="14"/>
      <c r="G1010" s="14"/>
      <c r="H1010" s="14"/>
      <c r="I1010" s="14"/>
      <c r="J1010" s="14"/>
      <c r="K1010" s="100"/>
      <c r="L1010" s="102">
        <f t="shared" si="584"/>
        <v>1</v>
      </c>
      <c r="M1010" s="102" t="str">
        <f t="shared" si="588"/>
        <v>ok</v>
      </c>
    </row>
    <row r="1011" spans="1:13">
      <c r="A1011" s="128"/>
      <c r="B1011" s="131" t="s">
        <v>820</v>
      </c>
      <c r="C1011" s="129">
        <f>SUMIFS('Lleoliadau Cyflwyno'!$N:$N,'Lleoliadau Cyflwyno'!$E:$E,"Amlddisgyblaethol",'Lleoliadau Cyflwyno'!$D:$D,"Amatur",'Lleoliadau Cyflwyno'!$G:$G,"Ie")</f>
        <v>0</v>
      </c>
      <c r="D1011" s="102">
        <f t="shared" si="546"/>
        <v>1</v>
      </c>
      <c r="E1011" s="14"/>
      <c r="F1011" s="14"/>
      <c r="G1011" s="14"/>
      <c r="H1011" s="14"/>
      <c r="I1011" s="14"/>
      <c r="J1011" s="14"/>
      <c r="K1011" s="100"/>
      <c r="L1011" s="102">
        <f t="shared" si="584"/>
        <v>1</v>
      </c>
      <c r="M1011" s="102" t="str">
        <f t="shared" ref="M1011" si="589">IF(C1010&lt;=C1011,"ok","wrong")</f>
        <v>ok</v>
      </c>
    </row>
    <row r="1012" spans="1:13" ht="15">
      <c r="A1012" s="128"/>
      <c r="B1012" s="130" t="s">
        <v>821</v>
      </c>
      <c r="C1012" s="129">
        <f>COUNTIFS('Lleoliadau Cyflwyno'!$E:$E,"Amlddisgyblaethol",'Lleoliadau Cyflwyno'!$D:$D,"Amatur",'Lleoliadau Cyflwyno'!$H:$H,"Ie")</f>
        <v>0</v>
      </c>
      <c r="D1012" s="102">
        <f t="shared" ref="D1012:D1075" si="590">L1012</f>
        <v>1</v>
      </c>
      <c r="E1012" s="14"/>
      <c r="F1012" s="14"/>
      <c r="G1012" s="14"/>
      <c r="H1012" s="14"/>
      <c r="I1012" s="14"/>
      <c r="J1012" s="14"/>
      <c r="K1012" s="100"/>
      <c r="L1012" s="102">
        <f t="shared" si="584"/>
        <v>1</v>
      </c>
      <c r="M1012" s="102" t="str">
        <f t="shared" ref="M1012:M1013" si="591">IF(AND(C1012&gt;=0.1,SUM(C1013)&gt;=C1012),"ok",IF(AND(C1012=0,SUM(C1013)=0),"ok",IF(AND(C1012&gt;0.1,SUM(C1013)=0),"wrong",IF(AND(C1012=0,SUM(C1013)&gt;0.1),"wrong"))))</f>
        <v>ok</v>
      </c>
    </row>
    <row r="1013" spans="1:13">
      <c r="A1013" s="128"/>
      <c r="B1013" s="131" t="s">
        <v>822</v>
      </c>
      <c r="C1013" s="129">
        <f>SUMIFS('Lleoliadau Cyflwyno'!$M:$M,'Lleoliadau Cyflwyno'!$E:$E,"Amlddisgyblaethol",'Lleoliadau Cyflwyno'!$D:$D,"Amatur",'Lleoliadau Cyflwyno'!$H:$H,"Ie")</f>
        <v>0</v>
      </c>
      <c r="D1013" s="102">
        <f t="shared" si="590"/>
        <v>1</v>
      </c>
      <c r="E1013" s="14"/>
      <c r="F1013" s="14"/>
      <c r="G1013" s="14"/>
      <c r="H1013" s="14"/>
      <c r="I1013" s="14"/>
      <c r="J1013" s="14"/>
      <c r="K1013" s="100"/>
      <c r="L1013" s="102">
        <f t="shared" si="584"/>
        <v>1</v>
      </c>
      <c r="M1013" s="102" t="str">
        <f t="shared" si="591"/>
        <v>ok</v>
      </c>
    </row>
    <row r="1014" spans="1:13">
      <c r="A1014" s="128"/>
      <c r="B1014" s="131" t="s">
        <v>823</v>
      </c>
      <c r="C1014" s="129">
        <f>SUMIFS('Lleoliadau Cyflwyno'!$N:$N,'Lleoliadau Cyflwyno'!$E:$E,"Amlddisgyblaethol",'Lleoliadau Cyflwyno'!$D:$D,"Amatur",'Lleoliadau Cyflwyno'!$H:$H,"Ie")</f>
        <v>0</v>
      </c>
      <c r="D1014" s="102">
        <f t="shared" si="590"/>
        <v>1</v>
      </c>
      <c r="E1014" s="14"/>
      <c r="F1014" s="14"/>
      <c r="G1014" s="14"/>
      <c r="H1014" s="14"/>
      <c r="I1014" s="14"/>
      <c r="J1014" s="14"/>
      <c r="K1014" s="100"/>
      <c r="L1014" s="102">
        <f t="shared" si="584"/>
        <v>1</v>
      </c>
      <c r="M1014" s="102" t="str">
        <f t="shared" ref="M1014" si="592">IF(C1013&lt;=C1014,"ok","wrong")</f>
        <v>ok</v>
      </c>
    </row>
    <row r="1015" spans="1:13" ht="15">
      <c r="A1015" s="128"/>
      <c r="B1015" s="130" t="s">
        <v>824</v>
      </c>
      <c r="C1015" s="129">
        <f>COUNTIFS('Lleoliadau Cyflwyno'!$E:$E,"Amlddisgyblaethol",'Lleoliadau Cyflwyno'!$D:$D,"Amatur",'Lleoliadau Cyflwyno'!$I:$I,"Ie")</f>
        <v>0</v>
      </c>
      <c r="D1015" s="102">
        <f t="shared" si="590"/>
        <v>1</v>
      </c>
      <c r="E1015" s="14"/>
      <c r="F1015" s="14"/>
      <c r="G1015" s="14"/>
      <c r="H1015" s="14"/>
      <c r="I1015" s="14"/>
      <c r="J1015" s="14"/>
      <c r="K1015" s="100"/>
      <c r="L1015" s="102">
        <f t="shared" si="584"/>
        <v>1</v>
      </c>
      <c r="M1015" s="102" t="str">
        <f t="shared" ref="M1015:M1016" si="593">IF(AND(C1015&gt;=0.1,SUM(C1016)&gt;=C1015),"ok",IF(AND(C1015=0,SUM(C1016)=0),"ok",IF(AND(C1015&gt;0.1,SUM(C1016)=0),"wrong",IF(AND(C1015=0,SUM(C1016)&gt;0.1),"wrong"))))</f>
        <v>ok</v>
      </c>
    </row>
    <row r="1016" spans="1:13">
      <c r="A1016" s="128"/>
      <c r="B1016" s="131" t="s">
        <v>825</v>
      </c>
      <c r="C1016" s="129">
        <f>SUMIFS('Lleoliadau Cyflwyno'!$M:$M,'Lleoliadau Cyflwyno'!$E:$E,"Amlddisgyblaethol",'Lleoliadau Cyflwyno'!$D:$D,"Amatur",'Lleoliadau Cyflwyno'!$I:$I,"Ie")</f>
        <v>0</v>
      </c>
      <c r="D1016" s="102">
        <f t="shared" si="590"/>
        <v>1</v>
      </c>
      <c r="E1016" s="14"/>
      <c r="F1016" s="14"/>
      <c r="G1016" s="14"/>
      <c r="H1016" s="14"/>
      <c r="I1016" s="14"/>
      <c r="J1016" s="14"/>
      <c r="K1016" s="100"/>
      <c r="L1016" s="102">
        <f t="shared" si="584"/>
        <v>1</v>
      </c>
      <c r="M1016" s="102" t="str">
        <f t="shared" si="593"/>
        <v>ok</v>
      </c>
    </row>
    <row r="1017" spans="1:13">
      <c r="A1017" s="128"/>
      <c r="B1017" s="131" t="s">
        <v>826</v>
      </c>
      <c r="C1017" s="129">
        <f>SUMIFS('Lleoliadau Cyflwyno'!$N:$N,'Lleoliadau Cyflwyno'!$E:$E,"Amlddisgyblaethol",'Lleoliadau Cyflwyno'!$D:$D,"Amatur",'Lleoliadau Cyflwyno'!$I:$I,"Ie")</f>
        <v>0</v>
      </c>
      <c r="D1017" s="102">
        <f t="shared" si="590"/>
        <v>1</v>
      </c>
      <c r="E1017" s="14"/>
      <c r="F1017" s="14"/>
      <c r="G1017" s="14"/>
      <c r="H1017" s="14"/>
      <c r="I1017" s="14"/>
      <c r="J1017" s="14"/>
      <c r="K1017" s="100"/>
      <c r="L1017" s="102">
        <f t="shared" si="584"/>
        <v>1</v>
      </c>
      <c r="M1017" s="102" t="str">
        <f t="shared" ref="M1017" si="594">IF(C1016&lt;=C1017,"ok","wrong")</f>
        <v>ok</v>
      </c>
    </row>
    <row r="1018" spans="1:13" ht="15">
      <c r="A1018" s="128"/>
      <c r="B1018" s="130" t="s">
        <v>827</v>
      </c>
      <c r="C1018" s="129">
        <f>COUNTIFS('Lleoliadau Cyflwyno'!$E:$E,"Amlddisgyblaethol",'Lleoliadau Cyflwyno'!$D:$D,"Amatur",'Lleoliadau Cyflwyno'!$J:$J,"Ie")</f>
        <v>0</v>
      </c>
      <c r="D1018" s="102">
        <f t="shared" si="590"/>
        <v>1</v>
      </c>
      <c r="E1018" s="14"/>
      <c r="F1018" s="14"/>
      <c r="G1018" s="14"/>
      <c r="H1018" s="14"/>
      <c r="I1018" s="14"/>
      <c r="J1018" s="14"/>
      <c r="K1018" s="100"/>
      <c r="L1018" s="102">
        <f t="shared" si="584"/>
        <v>1</v>
      </c>
      <c r="M1018" s="102" t="str">
        <f t="shared" ref="M1018:M1019" si="595">IF(AND(C1018&gt;=0.1,SUM(C1019)&gt;=C1018),"ok",IF(AND(C1018=0,SUM(C1019)=0),"ok",IF(AND(C1018&gt;0.1,SUM(C1019)=0),"wrong",IF(AND(C1018=0,SUM(C1019)&gt;0.1),"wrong"))))</f>
        <v>ok</v>
      </c>
    </row>
    <row r="1019" spans="1:13">
      <c r="A1019" s="128"/>
      <c r="B1019" s="131" t="s">
        <v>828</v>
      </c>
      <c r="C1019" s="129">
        <f>SUMIFS('Lleoliadau Cyflwyno'!$M:$M,'Lleoliadau Cyflwyno'!$E:$E,"Amlddisgyblaethol",'Lleoliadau Cyflwyno'!$D:$D,"Amatur",'Lleoliadau Cyflwyno'!$J:$J,"Ie")</f>
        <v>0</v>
      </c>
      <c r="D1019" s="102">
        <f t="shared" si="590"/>
        <v>1</v>
      </c>
      <c r="E1019" s="14"/>
      <c r="F1019" s="14"/>
      <c r="G1019" s="14"/>
      <c r="H1019" s="14"/>
      <c r="I1019" s="14"/>
      <c r="J1019" s="14"/>
      <c r="K1019" s="100"/>
      <c r="L1019" s="102">
        <f t="shared" si="584"/>
        <v>1</v>
      </c>
      <c r="M1019" s="102" t="str">
        <f t="shared" si="595"/>
        <v>ok</v>
      </c>
    </row>
    <row r="1020" spans="1:13">
      <c r="A1020" s="128"/>
      <c r="B1020" s="131" t="s">
        <v>829</v>
      </c>
      <c r="C1020" s="129">
        <f>SUMIFS('Lleoliadau Cyflwyno'!$N:$N,'Lleoliadau Cyflwyno'!$E:$E,"Amlddisgyblaethol",'Lleoliadau Cyflwyno'!$D:$D,"Amatur",'Lleoliadau Cyflwyno'!$J:$J,"Ie")</f>
        <v>0</v>
      </c>
      <c r="D1020" s="102">
        <f t="shared" si="590"/>
        <v>1</v>
      </c>
      <c r="E1020" s="14"/>
      <c r="F1020" s="14"/>
      <c r="G1020" s="14"/>
      <c r="H1020" s="14"/>
      <c r="I1020" s="14"/>
      <c r="J1020" s="14"/>
      <c r="K1020" s="100"/>
      <c r="L1020" s="102">
        <f t="shared" si="584"/>
        <v>1</v>
      </c>
      <c r="M1020" s="102" t="str">
        <f t="shared" ref="M1020" si="596">IF(C1019&lt;=C1020,"ok","wrong")</f>
        <v>ok</v>
      </c>
    </row>
    <row r="1021" spans="1:13" ht="15">
      <c r="A1021" s="128"/>
      <c r="B1021" s="130" t="s">
        <v>830</v>
      </c>
      <c r="C1021" s="129">
        <f>COUNTIFS('Lleoliadau Cyflwyno'!$E:$E,"Amlddisgyblaethol",'Lleoliadau Cyflwyno'!$D:$D,"Amatur",'Lleoliadau Cyflwyno'!$K:$K,"Ie")</f>
        <v>0</v>
      </c>
      <c r="D1021" s="102">
        <f t="shared" si="590"/>
        <v>1</v>
      </c>
      <c r="E1021" s="14"/>
      <c r="F1021" s="14"/>
      <c r="G1021" s="14"/>
      <c r="H1021" s="14"/>
      <c r="I1021" s="14"/>
      <c r="J1021" s="14"/>
      <c r="K1021" s="100"/>
      <c r="L1021" s="102">
        <f t="shared" si="584"/>
        <v>1</v>
      </c>
      <c r="M1021" s="102" t="str">
        <f t="shared" ref="M1021:M1022" si="597">IF(AND(C1021&gt;=0.1,SUM(C1022)&gt;=C1021),"ok",IF(AND(C1021=0,SUM(C1022)=0),"ok",IF(AND(C1021&gt;0.1,SUM(C1022)=0),"wrong",IF(AND(C1021=0,SUM(C1022)&gt;0.1),"wrong"))))</f>
        <v>ok</v>
      </c>
    </row>
    <row r="1022" spans="1:13" ht="29">
      <c r="A1022" s="128"/>
      <c r="B1022" s="131" t="s">
        <v>831</v>
      </c>
      <c r="C1022" s="129">
        <f>SUMIFS('Lleoliadau Cyflwyno'!$M:$M,'Lleoliadau Cyflwyno'!$E:$E,"Amlddisgyblaethol",'Lleoliadau Cyflwyno'!$D:$D,"Amatur",'Lleoliadau Cyflwyno'!$K:$K,"Ie")</f>
        <v>0</v>
      </c>
      <c r="D1022" s="102">
        <f t="shared" si="590"/>
        <v>1</v>
      </c>
      <c r="E1022" s="14"/>
      <c r="F1022" s="14"/>
      <c r="G1022" s="14"/>
      <c r="H1022" s="14"/>
      <c r="I1022" s="14"/>
      <c r="J1022" s="14"/>
      <c r="K1022" s="100"/>
      <c r="L1022" s="102">
        <f t="shared" si="584"/>
        <v>1</v>
      </c>
      <c r="M1022" s="102" t="str">
        <f t="shared" si="597"/>
        <v>ok</v>
      </c>
    </row>
    <row r="1023" spans="1:13" ht="29">
      <c r="A1023" s="128"/>
      <c r="B1023" s="131" t="s">
        <v>832</v>
      </c>
      <c r="C1023" s="129">
        <f>SUMIFS('Lleoliadau Cyflwyno'!$N:$N,'Lleoliadau Cyflwyno'!$E:$E,"Amlddisgyblaethol",'Lleoliadau Cyflwyno'!$D:$D,"Amatur",'Lleoliadau Cyflwyno'!$K:$K,"Ie")</f>
        <v>0</v>
      </c>
      <c r="D1023" s="102">
        <f t="shared" si="590"/>
        <v>1</v>
      </c>
      <c r="E1023" s="14"/>
      <c r="F1023" s="14"/>
      <c r="G1023" s="14"/>
      <c r="H1023" s="14"/>
      <c r="I1023" s="14"/>
      <c r="J1023" s="14"/>
      <c r="K1023" s="100"/>
      <c r="L1023" s="102">
        <f t="shared" si="584"/>
        <v>1</v>
      </c>
      <c r="M1023" s="102" t="str">
        <f t="shared" ref="M1023" si="598">IF(C1022&lt;=C1023,"ok","wrong")</f>
        <v>ok</v>
      </c>
    </row>
    <row r="1024" spans="1:13" ht="15">
      <c r="A1024" s="128" t="s">
        <v>834</v>
      </c>
      <c r="B1024" s="130" t="s">
        <v>797</v>
      </c>
      <c r="C1024" s="129">
        <f>COUNTIFS('Lleoliadau Cyflwyno'!$E:$E,"Cerddoriaeth",'Lleoliadau Cyflwyno'!$D:$D,"Proffesiynol",'Lleoliadau Cyflwyno'!$F:$F,"Ie")</f>
        <v>0</v>
      </c>
      <c r="D1024" s="102">
        <f t="shared" si="590"/>
        <v>1</v>
      </c>
      <c r="E1024" s="14"/>
      <c r="F1024" s="14"/>
      <c r="G1024" s="14"/>
      <c r="H1024" s="14"/>
      <c r="I1024" s="14"/>
      <c r="J1024" s="14"/>
      <c r="K1024" s="100"/>
      <c r="L1024" s="102">
        <f t="shared" si="584"/>
        <v>1</v>
      </c>
      <c r="M1024" s="102" t="str">
        <f t="shared" ref="M1024:M1025" si="599">IF(AND(C1024&gt;=0.1,SUM(C1025)&gt;=C1024),"ok",IF(AND(C1024=0,SUM(C1025)=0),"ok",IF(AND(C1024&gt;0.1,SUM(C1025)=0),"wrong",IF(AND(C1024=0,SUM(C1025)&gt;0.1),"wrong"))))</f>
        <v>ok</v>
      </c>
    </row>
    <row r="1025" spans="1:13">
      <c r="A1025" s="128"/>
      <c r="B1025" s="131" t="s">
        <v>798</v>
      </c>
      <c r="C1025" s="129">
        <f>SUMIFS('Lleoliadau Cyflwyno'!$M:$M,'Lleoliadau Cyflwyno'!$E:$E,"Cerddoriaeth",'Lleoliadau Cyflwyno'!$D:$D,"Proffesiynol",'Lleoliadau Cyflwyno'!$F:$F,"Ie")</f>
        <v>0</v>
      </c>
      <c r="D1025" s="102">
        <f t="shared" si="590"/>
        <v>1</v>
      </c>
      <c r="E1025" s="14"/>
      <c r="F1025" s="14"/>
      <c r="G1025" s="14"/>
      <c r="H1025" s="14"/>
      <c r="I1025" s="14"/>
      <c r="J1025" s="14"/>
      <c r="K1025" s="100"/>
      <c r="L1025" s="102">
        <f t="shared" si="584"/>
        <v>1</v>
      </c>
      <c r="M1025" s="102" t="str">
        <f t="shared" si="599"/>
        <v>ok</v>
      </c>
    </row>
    <row r="1026" spans="1:13">
      <c r="A1026" s="128"/>
      <c r="B1026" s="131" t="s">
        <v>799</v>
      </c>
      <c r="C1026" s="129">
        <f>SUMIFS('Lleoliadau Cyflwyno'!$N:$N,'Lleoliadau Cyflwyno'!$E:$E,"Cerddoriaeth",'Lleoliadau Cyflwyno'!$D:$D,"Proffesiynol",'Lleoliadau Cyflwyno'!$F:$F,"Ie")</f>
        <v>0</v>
      </c>
      <c r="D1026" s="102">
        <f t="shared" si="590"/>
        <v>1</v>
      </c>
      <c r="E1026" s="14"/>
      <c r="F1026" s="14"/>
      <c r="G1026" s="14"/>
      <c r="H1026" s="14"/>
      <c r="I1026" s="14"/>
      <c r="J1026" s="14"/>
      <c r="K1026" s="100"/>
      <c r="L1026" s="102">
        <f t="shared" si="584"/>
        <v>1</v>
      </c>
      <c r="M1026" s="102" t="str">
        <f t="shared" ref="M1026" si="600">IF(C1025&lt;=C1026,"ok","wrong")</f>
        <v>ok</v>
      </c>
    </row>
    <row r="1027" spans="1:13" ht="15">
      <c r="A1027" s="128"/>
      <c r="B1027" s="130" t="s">
        <v>800</v>
      </c>
      <c r="C1027" s="129">
        <f>COUNTIFS('Lleoliadau Cyflwyno'!$E:$E,"Cerddoriaeth",'Lleoliadau Cyflwyno'!$D:$D,"Proffesiynol",'Lleoliadau Cyflwyno'!$G:$G,"Ie")</f>
        <v>0</v>
      </c>
      <c r="D1027" s="102">
        <f t="shared" si="590"/>
        <v>1</v>
      </c>
      <c r="E1027" s="14"/>
      <c r="F1027" s="14"/>
      <c r="G1027" s="14"/>
      <c r="H1027" s="14"/>
      <c r="I1027" s="14"/>
      <c r="J1027" s="14"/>
      <c r="K1027" s="100"/>
      <c r="L1027" s="102">
        <f t="shared" si="584"/>
        <v>1</v>
      </c>
      <c r="M1027" s="102" t="str">
        <f t="shared" ref="M1027:M1028" si="601">IF(AND(C1027&gt;=0.1,SUM(C1028)&gt;=C1027),"ok",IF(AND(C1027=0,SUM(C1028)=0),"ok",IF(AND(C1027&gt;0.1,SUM(C1028)=0),"wrong",IF(AND(C1027=0,SUM(C1028)&gt;0.1),"wrong"))))</f>
        <v>ok</v>
      </c>
    </row>
    <row r="1028" spans="1:13">
      <c r="A1028" s="128"/>
      <c r="B1028" s="131" t="s">
        <v>801</v>
      </c>
      <c r="C1028" s="129">
        <f>SUMIFS('Lleoliadau Cyflwyno'!$M:$M,'Lleoliadau Cyflwyno'!$E:$E,"Cerddoriaeth",'Lleoliadau Cyflwyno'!$D:$D,"Proffesiynol",'Lleoliadau Cyflwyno'!$G:$G,"Ie")</f>
        <v>0</v>
      </c>
      <c r="D1028" s="102">
        <f t="shared" si="590"/>
        <v>1</v>
      </c>
      <c r="E1028" s="14"/>
      <c r="F1028" s="14"/>
      <c r="G1028" s="14"/>
      <c r="H1028" s="14"/>
      <c r="I1028" s="14"/>
      <c r="J1028" s="14"/>
      <c r="K1028" s="100"/>
      <c r="L1028" s="102">
        <f t="shared" si="584"/>
        <v>1</v>
      </c>
      <c r="M1028" s="102" t="str">
        <f t="shared" si="601"/>
        <v>ok</v>
      </c>
    </row>
    <row r="1029" spans="1:13">
      <c r="A1029" s="128"/>
      <c r="B1029" s="131" t="s">
        <v>802</v>
      </c>
      <c r="C1029" s="129">
        <f>SUMIFS('Lleoliadau Cyflwyno'!$N:$N,'Lleoliadau Cyflwyno'!$E:$E,"Cerddoriaeth",'Lleoliadau Cyflwyno'!$D:$D,"Proffesiynol",'Lleoliadau Cyflwyno'!$G:$G,"Ie")</f>
        <v>0</v>
      </c>
      <c r="D1029" s="102">
        <f t="shared" si="590"/>
        <v>1</v>
      </c>
      <c r="E1029" s="14"/>
      <c r="F1029" s="14"/>
      <c r="G1029" s="14"/>
      <c r="H1029" s="14"/>
      <c r="I1029" s="14"/>
      <c r="J1029" s="14"/>
      <c r="K1029" s="100"/>
      <c r="L1029" s="102">
        <f t="shared" si="584"/>
        <v>1</v>
      </c>
      <c r="M1029" s="102" t="str">
        <f t="shared" ref="M1029" si="602">IF(C1028&lt;=C1029,"ok","wrong")</f>
        <v>ok</v>
      </c>
    </row>
    <row r="1030" spans="1:13" ht="15">
      <c r="A1030" s="128"/>
      <c r="B1030" s="130" t="s">
        <v>803</v>
      </c>
      <c r="C1030" s="129">
        <f>COUNTIFS('Lleoliadau Cyflwyno'!$E:$E,"Cerddoriaeth",'Lleoliadau Cyflwyno'!$D:$D,"Proffesiynol",'Lleoliadau Cyflwyno'!$H:$H,"Ie")</f>
        <v>0</v>
      </c>
      <c r="D1030" s="102">
        <f t="shared" si="590"/>
        <v>1</v>
      </c>
      <c r="E1030" s="14"/>
      <c r="F1030" s="14"/>
      <c r="G1030" s="14"/>
      <c r="H1030" s="14"/>
      <c r="I1030" s="14"/>
      <c r="J1030" s="14"/>
      <c r="K1030" s="100"/>
      <c r="L1030" s="102">
        <f t="shared" si="584"/>
        <v>1</v>
      </c>
      <c r="M1030" s="102" t="str">
        <f t="shared" ref="M1030:M1031" si="603">IF(AND(C1030&gt;=0.1,SUM(C1031)&gt;=C1030),"ok",IF(AND(C1030=0,SUM(C1031)=0),"ok",IF(AND(C1030&gt;0.1,SUM(C1031)=0),"wrong",IF(AND(C1030=0,SUM(C1031)&gt;0.1),"wrong"))))</f>
        <v>ok</v>
      </c>
    </row>
    <row r="1031" spans="1:13">
      <c r="A1031" s="128"/>
      <c r="B1031" s="131" t="s">
        <v>804</v>
      </c>
      <c r="C1031" s="129">
        <f>SUMIFS('Lleoliadau Cyflwyno'!$M:$M,'Lleoliadau Cyflwyno'!$E:$E,"Cerddoriaeth",'Lleoliadau Cyflwyno'!$F:$F,"Proffesiynol",'Lleoliadau Cyflwyno'!$H:$H,"Ie")</f>
        <v>0</v>
      </c>
      <c r="D1031" s="102">
        <f t="shared" si="590"/>
        <v>1</v>
      </c>
      <c r="E1031" s="14"/>
      <c r="F1031" s="14"/>
      <c r="G1031" s="14"/>
      <c r="H1031" s="14"/>
      <c r="I1031" s="14"/>
      <c r="J1031" s="14"/>
      <c r="K1031" s="100"/>
      <c r="L1031" s="102">
        <f t="shared" si="584"/>
        <v>1</v>
      </c>
      <c r="M1031" s="102" t="str">
        <f t="shared" si="603"/>
        <v>ok</v>
      </c>
    </row>
    <row r="1032" spans="1:13">
      <c r="A1032" s="128"/>
      <c r="B1032" s="131" t="s">
        <v>805</v>
      </c>
      <c r="C1032" s="129">
        <f>SUMIFS('Lleoliadau Cyflwyno'!$N:$N,'Lleoliadau Cyflwyno'!$E:$E,"Cerddoriaeth",'Lleoliadau Cyflwyno'!$D:$D,"Proffesiynol",'Lleoliadau Cyflwyno'!$H:$H,"Ie")</f>
        <v>0</v>
      </c>
      <c r="D1032" s="102">
        <f t="shared" si="590"/>
        <v>1</v>
      </c>
      <c r="E1032" s="14"/>
      <c r="F1032" s="14"/>
      <c r="G1032" s="14"/>
      <c r="H1032" s="14"/>
      <c r="I1032" s="14"/>
      <c r="J1032" s="14"/>
      <c r="K1032" s="100"/>
      <c r="L1032" s="102">
        <f t="shared" si="584"/>
        <v>1</v>
      </c>
      <c r="M1032" s="102" t="str">
        <f t="shared" ref="M1032" si="604">IF(C1031&lt;=C1032,"ok","wrong")</f>
        <v>ok</v>
      </c>
    </row>
    <row r="1033" spans="1:13" ht="15">
      <c r="A1033" s="128"/>
      <c r="B1033" s="130" t="s">
        <v>806</v>
      </c>
      <c r="C1033" s="129">
        <f>COUNTIFS('Lleoliadau Cyflwyno'!$E:$E,"Cerddoriaeth",'Lleoliadau Cyflwyno'!$D:$D,"Proffesiynol",'Lleoliadau Cyflwyno'!$I:$I,"Ie")</f>
        <v>0</v>
      </c>
      <c r="D1033" s="102">
        <f t="shared" si="590"/>
        <v>1</v>
      </c>
      <c r="E1033" s="14"/>
      <c r="F1033" s="14"/>
      <c r="G1033" s="14"/>
      <c r="H1033" s="14"/>
      <c r="I1033" s="14"/>
      <c r="J1033" s="14"/>
      <c r="K1033" s="100"/>
      <c r="L1033" s="102">
        <f t="shared" si="584"/>
        <v>1</v>
      </c>
      <c r="M1033" s="102" t="str">
        <f t="shared" ref="M1033:M1034" si="605">IF(AND(C1033&gt;=0.1,SUM(C1034)&gt;=C1033),"ok",IF(AND(C1033=0,SUM(C1034)=0),"ok",IF(AND(C1033&gt;0.1,SUM(C1034)=0),"wrong",IF(AND(C1033=0,SUM(C1034)&gt;0.1),"wrong"))))</f>
        <v>ok</v>
      </c>
    </row>
    <row r="1034" spans="1:13">
      <c r="A1034" s="128"/>
      <c r="B1034" s="131" t="s">
        <v>807</v>
      </c>
      <c r="C1034" s="129">
        <f>SUMIFS('Lleoliadau Cyflwyno'!$M:$M,'Lleoliadau Cyflwyno'!$E:$E,"Cerddoriaeth",'Lleoliadau Cyflwyno'!$D:$D,"Proffesiynol",'Lleoliadau Cyflwyno'!$I:$I,"Ie")</f>
        <v>0</v>
      </c>
      <c r="D1034" s="102">
        <f t="shared" si="590"/>
        <v>1</v>
      </c>
      <c r="E1034" s="14"/>
      <c r="F1034" s="14"/>
      <c r="G1034" s="14"/>
      <c r="H1034" s="14"/>
      <c r="I1034" s="14"/>
      <c r="J1034" s="14"/>
      <c r="K1034" s="100"/>
      <c r="L1034" s="102">
        <f t="shared" si="584"/>
        <v>1</v>
      </c>
      <c r="M1034" s="102" t="str">
        <f t="shared" si="605"/>
        <v>ok</v>
      </c>
    </row>
    <row r="1035" spans="1:13" ht="29">
      <c r="A1035" s="128"/>
      <c r="B1035" s="131" t="s">
        <v>808</v>
      </c>
      <c r="C1035" s="129">
        <f>SUMIFS('Lleoliadau Cyflwyno'!$N:$N,'Lleoliadau Cyflwyno'!$E:$E,"Cerddoriaeth",'Lleoliadau Cyflwyno'!$D:$D,"Proffesiynol",'Lleoliadau Cyflwyno'!$I:$I,"Ie")</f>
        <v>0</v>
      </c>
      <c r="D1035" s="102">
        <f t="shared" si="590"/>
        <v>1</v>
      </c>
      <c r="E1035" s="14"/>
      <c r="F1035" s="14"/>
      <c r="G1035" s="14"/>
      <c r="H1035" s="14"/>
      <c r="I1035" s="14"/>
      <c r="J1035" s="14"/>
      <c r="K1035" s="100"/>
      <c r="L1035" s="102">
        <f t="shared" si="584"/>
        <v>1</v>
      </c>
      <c r="M1035" s="102" t="str">
        <f t="shared" ref="M1035" si="606">IF(C1034&lt;=C1035,"ok","wrong")</f>
        <v>ok</v>
      </c>
    </row>
    <row r="1036" spans="1:13" ht="15">
      <c r="A1036" s="128"/>
      <c r="B1036" s="130" t="s">
        <v>809</v>
      </c>
      <c r="C1036" s="129">
        <f>COUNTIFS('Lleoliadau Cyflwyno'!$E:$E,"Cerddoriaeth",'Lleoliadau Cyflwyno'!$D:$D,"Proffesiynol",'Lleoliadau Cyflwyno'!$J:$J,"Ie")</f>
        <v>0</v>
      </c>
      <c r="D1036" s="102">
        <f t="shared" si="590"/>
        <v>1</v>
      </c>
      <c r="E1036" s="14"/>
      <c r="F1036" s="14"/>
      <c r="G1036" s="14"/>
      <c r="H1036" s="14"/>
      <c r="I1036" s="14"/>
      <c r="J1036" s="14"/>
      <c r="K1036" s="100"/>
      <c r="L1036" s="102">
        <f t="shared" si="584"/>
        <v>1</v>
      </c>
      <c r="M1036" s="102" t="str">
        <f t="shared" ref="M1036:M1037" si="607">IF(AND(C1036&gt;=0.1,SUM(C1037)&gt;=C1036),"ok",IF(AND(C1036=0,SUM(C1037)=0),"ok",IF(AND(C1036&gt;0.1,SUM(C1037)=0),"wrong",IF(AND(C1036=0,SUM(C1037)&gt;0.1),"wrong"))))</f>
        <v>ok</v>
      </c>
    </row>
    <row r="1037" spans="1:13">
      <c r="A1037" s="128"/>
      <c r="B1037" s="131" t="s">
        <v>810</v>
      </c>
      <c r="C1037" s="129">
        <f>SUMIFS('Lleoliadau Cyflwyno'!$M:$M,'Lleoliadau Cyflwyno'!$E:$E,"Cerddoriaeth",'Lleoliadau Cyflwyno'!$D:$D,"Proffesiynol",'Lleoliadau Cyflwyno'!$J:$J,"Ie")</f>
        <v>0</v>
      </c>
      <c r="D1037" s="102">
        <f t="shared" si="590"/>
        <v>1</v>
      </c>
      <c r="E1037" s="14"/>
      <c r="F1037" s="14"/>
      <c r="G1037" s="14"/>
      <c r="H1037" s="14"/>
      <c r="I1037" s="14"/>
      <c r="J1037" s="14"/>
      <c r="K1037" s="100"/>
      <c r="L1037" s="102">
        <f t="shared" si="584"/>
        <v>1</v>
      </c>
      <c r="M1037" s="102" t="str">
        <f t="shared" si="607"/>
        <v>ok</v>
      </c>
    </row>
    <row r="1038" spans="1:13">
      <c r="A1038" s="128"/>
      <c r="B1038" s="131" t="s">
        <v>811</v>
      </c>
      <c r="C1038" s="129">
        <f>SUMIFS('Lleoliadau Cyflwyno'!$N:$N,'Lleoliadau Cyflwyno'!$E:$E,"Cerddoriaeth",'Lleoliadau Cyflwyno'!$D:$D,"Proffesiynol",'Lleoliadau Cyflwyno'!$J:$J,"Ie")</f>
        <v>0</v>
      </c>
      <c r="D1038" s="102">
        <f t="shared" si="590"/>
        <v>1</v>
      </c>
      <c r="E1038" s="14"/>
      <c r="F1038" s="14"/>
      <c r="G1038" s="14"/>
      <c r="H1038" s="14"/>
      <c r="I1038" s="14"/>
      <c r="J1038" s="14"/>
      <c r="K1038" s="100"/>
      <c r="L1038" s="102">
        <f t="shared" si="584"/>
        <v>1</v>
      </c>
      <c r="M1038" s="102" t="str">
        <f t="shared" ref="M1038" si="608">IF(C1037&lt;=C1038,"ok","wrong")</f>
        <v>ok</v>
      </c>
    </row>
    <row r="1039" spans="1:13" ht="15">
      <c r="A1039" s="128"/>
      <c r="B1039" s="130" t="s">
        <v>812</v>
      </c>
      <c r="C1039" s="129">
        <f>COUNTIFS('Lleoliadau Cyflwyno'!$E:$E,"Cerddoriaeth",'Lleoliadau Cyflwyno'!$D:$D,"Proffesiynol",'Lleoliadau Cyflwyno'!$K:$K,"Ie")</f>
        <v>0</v>
      </c>
      <c r="D1039" s="102">
        <f t="shared" si="590"/>
        <v>1</v>
      </c>
      <c r="E1039" s="14"/>
      <c r="F1039" s="14"/>
      <c r="G1039" s="14"/>
      <c r="H1039" s="14"/>
      <c r="I1039" s="14"/>
      <c r="J1039" s="14"/>
      <c r="K1039" s="100"/>
      <c r="L1039" s="102">
        <f t="shared" si="584"/>
        <v>1</v>
      </c>
      <c r="M1039" s="102" t="str">
        <f t="shared" ref="M1039:M1040" si="609">IF(AND(C1039&gt;=0.1,SUM(C1040)&gt;=C1039),"ok",IF(AND(C1039=0,SUM(C1040)=0),"ok",IF(AND(C1039&gt;0.1,SUM(C1040)=0),"wrong",IF(AND(C1039=0,SUM(C1040)&gt;0.1),"wrong"))))</f>
        <v>ok</v>
      </c>
    </row>
    <row r="1040" spans="1:13" ht="29">
      <c r="A1040" s="128"/>
      <c r="B1040" s="131" t="s">
        <v>813</v>
      </c>
      <c r="C1040" s="129">
        <f>SUMIFS('Lleoliadau Cyflwyno'!$M:$M,'Lleoliadau Cyflwyno'!$E:$E,"Cerddoriaeth",'Lleoliadau Cyflwyno'!$D:$D,"Proffesiynol",'Lleoliadau Cyflwyno'!$K:$K,"Ie")</f>
        <v>0</v>
      </c>
      <c r="D1040" s="102">
        <f t="shared" si="590"/>
        <v>1</v>
      </c>
      <c r="E1040" s="14"/>
      <c r="F1040" s="14"/>
      <c r="G1040" s="14"/>
      <c r="H1040" s="14"/>
      <c r="I1040" s="14"/>
      <c r="J1040" s="14"/>
      <c r="K1040" s="100"/>
      <c r="L1040" s="102">
        <f t="shared" si="584"/>
        <v>1</v>
      </c>
      <c r="M1040" s="102" t="str">
        <f t="shared" si="609"/>
        <v>ok</v>
      </c>
    </row>
    <row r="1041" spans="1:13" ht="29">
      <c r="A1041" s="128"/>
      <c r="B1041" s="131" t="s">
        <v>814</v>
      </c>
      <c r="C1041" s="129">
        <f>SUMIFS('Lleoliadau Cyflwyno'!$N:$N,'Lleoliadau Cyflwyno'!$E:$E,"Cerddoriaeth",'Lleoliadau Cyflwyno'!$D:$D,"Proffesiynol",'Lleoliadau Cyflwyno'!$K:$K,"Ie")</f>
        <v>0</v>
      </c>
      <c r="D1041" s="102">
        <f t="shared" si="590"/>
        <v>1</v>
      </c>
      <c r="E1041" s="14"/>
      <c r="F1041" s="14"/>
      <c r="G1041" s="14"/>
      <c r="H1041" s="14"/>
      <c r="I1041" s="14"/>
      <c r="J1041" s="14"/>
      <c r="K1041" s="100"/>
      <c r="L1041" s="102">
        <f t="shared" si="584"/>
        <v>1</v>
      </c>
      <c r="M1041" s="102" t="str">
        <f t="shared" ref="M1041" si="610">IF(C1040&lt;=C1041,"ok","wrong")</f>
        <v>ok</v>
      </c>
    </row>
    <row r="1042" spans="1:13" ht="15">
      <c r="A1042" s="128"/>
      <c r="B1042" s="130" t="s">
        <v>815</v>
      </c>
      <c r="C1042" s="129">
        <f>COUNTIFS('Lleoliadau Cyflwyno'!$E:$E,"Cerddoriaeth",'Lleoliadau Cyflwyno'!$D:$D,"Amatur",'Lleoliadau Cyflwyno'!$F:$F,"Ie")</f>
        <v>0</v>
      </c>
      <c r="D1042" s="102">
        <f t="shared" si="590"/>
        <v>1</v>
      </c>
      <c r="E1042" s="14"/>
      <c r="F1042" s="14"/>
      <c r="G1042" s="14"/>
      <c r="H1042" s="14"/>
      <c r="I1042" s="14"/>
      <c r="J1042" s="14"/>
      <c r="K1042" s="100"/>
      <c r="L1042" s="102">
        <f t="shared" si="584"/>
        <v>1</v>
      </c>
      <c r="M1042" s="102" t="str">
        <f t="shared" ref="M1042:M1043" si="611">IF(AND(C1042&gt;=0.1,SUM(C1043)&gt;=C1042),"ok",IF(AND(C1042=0,SUM(C1043)=0),"ok",IF(AND(C1042&gt;0.1,SUM(C1043)=0),"wrong",IF(AND(C1042=0,SUM(C1043)&gt;0.1),"wrong"))))</f>
        <v>ok</v>
      </c>
    </row>
    <row r="1043" spans="1:13">
      <c r="A1043" s="128"/>
      <c r="B1043" s="131" t="s">
        <v>816</v>
      </c>
      <c r="C1043" s="129">
        <f>SUMIFS('Lleoliadau Cyflwyno'!$M:$M,'Lleoliadau Cyflwyno'!$E:$E,"Cerddoriaeth",'Lleoliadau Cyflwyno'!$D:$D,"Amatur",'Lleoliadau Cyflwyno'!$F:$F,"Ie")</f>
        <v>0</v>
      </c>
      <c r="D1043" s="102">
        <f t="shared" si="590"/>
        <v>1</v>
      </c>
      <c r="E1043" s="14"/>
      <c r="F1043" s="14"/>
      <c r="G1043" s="14"/>
      <c r="H1043" s="14"/>
      <c r="I1043" s="14"/>
      <c r="J1043" s="14"/>
      <c r="K1043" s="100"/>
      <c r="L1043" s="102">
        <f t="shared" si="584"/>
        <v>1</v>
      </c>
      <c r="M1043" s="102" t="str">
        <f t="shared" si="611"/>
        <v>ok</v>
      </c>
    </row>
    <row r="1044" spans="1:13">
      <c r="A1044" s="128"/>
      <c r="B1044" s="131" t="s">
        <v>817</v>
      </c>
      <c r="C1044" s="129">
        <f>SUMIFS('Lleoliadau Cyflwyno'!$N:$N,'Lleoliadau Cyflwyno'!$E:$E,"Cerddoriaeth",'Lleoliadau Cyflwyno'!$D:$D,"Amatur",'Lleoliadau Cyflwyno'!$F:$F,"Ie")</f>
        <v>0</v>
      </c>
      <c r="D1044" s="102">
        <f t="shared" si="590"/>
        <v>1</v>
      </c>
      <c r="E1044" s="14"/>
      <c r="F1044" s="14"/>
      <c r="G1044" s="14"/>
      <c r="H1044" s="14"/>
      <c r="I1044" s="14"/>
      <c r="J1044" s="14"/>
      <c r="K1044" s="100"/>
      <c r="L1044" s="102">
        <f t="shared" si="584"/>
        <v>1</v>
      </c>
      <c r="M1044" s="102" t="str">
        <f t="shared" ref="M1044" si="612">IF(C1043&lt;=C1044,"ok","wrong")</f>
        <v>ok</v>
      </c>
    </row>
    <row r="1045" spans="1:13" ht="15">
      <c r="A1045" s="128"/>
      <c r="B1045" s="130" t="s">
        <v>818</v>
      </c>
      <c r="C1045" s="129">
        <f>COUNTIFS('Lleoliadau Cyflwyno'!$E:$E,"Cerddoriaeth",'Lleoliadau Cyflwyno'!$D:$D,"Amatur",'Lleoliadau Cyflwyno'!$G:$G,"Ie")</f>
        <v>0</v>
      </c>
      <c r="D1045" s="102">
        <f t="shared" si="590"/>
        <v>1</v>
      </c>
      <c r="E1045" s="14"/>
      <c r="F1045" s="14"/>
      <c r="G1045" s="14"/>
      <c r="H1045" s="14"/>
      <c r="I1045" s="14"/>
      <c r="J1045" s="14"/>
      <c r="K1045" s="100"/>
      <c r="L1045" s="102">
        <f t="shared" si="584"/>
        <v>1</v>
      </c>
      <c r="M1045" s="102" t="str">
        <f t="shared" ref="M1045:M1046" si="613">IF(AND(C1045&gt;=0.1,SUM(C1046)&gt;=C1045),"ok",IF(AND(C1045=0,SUM(C1046)=0),"ok",IF(AND(C1045&gt;0.1,SUM(C1046)=0),"wrong",IF(AND(C1045=0,SUM(C1046)&gt;0.1),"wrong"))))</f>
        <v>ok</v>
      </c>
    </row>
    <row r="1046" spans="1:13">
      <c r="A1046" s="128"/>
      <c r="B1046" s="131" t="s">
        <v>819</v>
      </c>
      <c r="C1046" s="129">
        <f>SUMIFS('Lleoliadau Cyflwyno'!$M:$M,'Lleoliadau Cyflwyno'!$E:$E,"Cerddoriaeth",'Lleoliadau Cyflwyno'!$D:$D,"Amatur",'Lleoliadau Cyflwyno'!$G:$G,"Ie")</f>
        <v>0</v>
      </c>
      <c r="D1046" s="102">
        <f t="shared" si="590"/>
        <v>1</v>
      </c>
      <c r="E1046" s="14"/>
      <c r="F1046" s="14"/>
      <c r="G1046" s="14"/>
      <c r="H1046" s="14"/>
      <c r="I1046" s="14"/>
      <c r="J1046" s="14"/>
      <c r="K1046" s="100"/>
      <c r="L1046" s="102">
        <f t="shared" si="584"/>
        <v>1</v>
      </c>
      <c r="M1046" s="102" t="str">
        <f t="shared" si="613"/>
        <v>ok</v>
      </c>
    </row>
    <row r="1047" spans="1:13">
      <c r="A1047" s="128"/>
      <c r="B1047" s="131" t="s">
        <v>820</v>
      </c>
      <c r="C1047" s="129">
        <f>SUMIFS('Lleoliadau Cyflwyno'!$N:$N,'Lleoliadau Cyflwyno'!$E:$E,"Cerddoriaeth",'Lleoliadau Cyflwyno'!$D:$D,"Amatur",'Lleoliadau Cyflwyno'!$G:$G,"Ie")</f>
        <v>0</v>
      </c>
      <c r="D1047" s="102">
        <f t="shared" si="590"/>
        <v>1</v>
      </c>
      <c r="E1047" s="14"/>
      <c r="F1047" s="14"/>
      <c r="G1047" s="14"/>
      <c r="H1047" s="14"/>
      <c r="I1047" s="14"/>
      <c r="J1047" s="14"/>
      <c r="K1047" s="100"/>
      <c r="L1047" s="102">
        <f t="shared" si="584"/>
        <v>1</v>
      </c>
      <c r="M1047" s="102" t="str">
        <f t="shared" ref="M1047" si="614">IF(C1046&lt;=C1047,"ok","wrong")</f>
        <v>ok</v>
      </c>
    </row>
    <row r="1048" spans="1:13" ht="15">
      <c r="A1048" s="128"/>
      <c r="B1048" s="130" t="s">
        <v>821</v>
      </c>
      <c r="C1048" s="129">
        <f>COUNTIFS('Lleoliadau Cyflwyno'!$E:$E,"Cerddoriaeth",'Lleoliadau Cyflwyno'!$D:$D,"Amatur",'Lleoliadau Cyflwyno'!$H:$H,"Ie")</f>
        <v>0</v>
      </c>
      <c r="D1048" s="102">
        <f t="shared" si="590"/>
        <v>1</v>
      </c>
      <c r="E1048" s="14"/>
      <c r="F1048" s="14"/>
      <c r="G1048" s="14"/>
      <c r="H1048" s="14"/>
      <c r="I1048" s="14"/>
      <c r="J1048" s="14"/>
      <c r="K1048" s="100"/>
      <c r="L1048" s="102">
        <f t="shared" si="584"/>
        <v>1</v>
      </c>
      <c r="M1048" s="102" t="str">
        <f t="shared" ref="M1048:M1049" si="615">IF(AND(C1048&gt;=0.1,SUM(C1049)&gt;=C1048),"ok",IF(AND(C1048=0,SUM(C1049)=0),"ok",IF(AND(C1048&gt;0.1,SUM(C1049)=0),"wrong",IF(AND(C1048=0,SUM(C1049)&gt;0.1),"wrong"))))</f>
        <v>ok</v>
      </c>
    </row>
    <row r="1049" spans="1:13">
      <c r="A1049" s="128"/>
      <c r="B1049" s="131" t="s">
        <v>822</v>
      </c>
      <c r="C1049" s="129">
        <f>SUMIFS('Lleoliadau Cyflwyno'!$M:$M,'Lleoliadau Cyflwyno'!$E:$E,"Cerddoriaeth",'Lleoliadau Cyflwyno'!$D:$D,"Amatur",'Lleoliadau Cyflwyno'!$H:$H,"Ie")</f>
        <v>0</v>
      </c>
      <c r="D1049" s="102">
        <f t="shared" si="590"/>
        <v>1</v>
      </c>
      <c r="E1049" s="14"/>
      <c r="F1049" s="14"/>
      <c r="G1049" s="14"/>
      <c r="H1049" s="14"/>
      <c r="I1049" s="14"/>
      <c r="J1049" s="14"/>
      <c r="K1049" s="100"/>
      <c r="L1049" s="102">
        <f t="shared" si="584"/>
        <v>1</v>
      </c>
      <c r="M1049" s="102" t="str">
        <f t="shared" si="615"/>
        <v>ok</v>
      </c>
    </row>
    <row r="1050" spans="1:13">
      <c r="A1050" s="128"/>
      <c r="B1050" s="131" t="s">
        <v>823</v>
      </c>
      <c r="C1050" s="129">
        <f>SUMIFS('Lleoliadau Cyflwyno'!$N:$N,'Lleoliadau Cyflwyno'!$E:$E,"Cerddoriaeth",'Lleoliadau Cyflwyno'!$D:$D,"Amatur",'Lleoliadau Cyflwyno'!$H:$H,"Ie")</f>
        <v>0</v>
      </c>
      <c r="D1050" s="102">
        <f t="shared" si="590"/>
        <v>1</v>
      </c>
      <c r="E1050" s="14"/>
      <c r="F1050" s="14"/>
      <c r="G1050" s="14"/>
      <c r="H1050" s="14"/>
      <c r="I1050" s="14"/>
      <c r="J1050" s="14"/>
      <c r="K1050" s="100"/>
      <c r="L1050" s="102">
        <f t="shared" si="584"/>
        <v>1</v>
      </c>
      <c r="M1050" s="102" t="str">
        <f t="shared" ref="M1050" si="616">IF(C1049&lt;=C1050,"ok","wrong")</f>
        <v>ok</v>
      </c>
    </row>
    <row r="1051" spans="1:13" ht="15">
      <c r="A1051" s="128"/>
      <c r="B1051" s="130" t="s">
        <v>824</v>
      </c>
      <c r="C1051" s="129">
        <f>COUNTIFS('Lleoliadau Cyflwyno'!$E:$E,"Cerddoriaeth",'Lleoliadau Cyflwyno'!$D:$D,"Amatur",'Lleoliadau Cyflwyno'!$I:$I,"Ie")</f>
        <v>0</v>
      </c>
      <c r="D1051" s="102">
        <f t="shared" si="590"/>
        <v>1</v>
      </c>
      <c r="E1051" s="14"/>
      <c r="F1051" s="14"/>
      <c r="G1051" s="14"/>
      <c r="H1051" s="14"/>
      <c r="I1051" s="14"/>
      <c r="J1051" s="14"/>
      <c r="K1051" s="100"/>
      <c r="L1051" s="102">
        <f t="shared" si="584"/>
        <v>1</v>
      </c>
      <c r="M1051" s="102" t="str">
        <f t="shared" ref="M1051:M1052" si="617">IF(AND(C1051&gt;=0.1,SUM(C1052)&gt;=C1051),"ok",IF(AND(C1051=0,SUM(C1052)=0),"ok",IF(AND(C1051&gt;0.1,SUM(C1052)=0),"wrong",IF(AND(C1051=0,SUM(C1052)&gt;0.1),"wrong"))))</f>
        <v>ok</v>
      </c>
    </row>
    <row r="1052" spans="1:13">
      <c r="A1052" s="128"/>
      <c r="B1052" s="131" t="s">
        <v>825</v>
      </c>
      <c r="C1052" s="129">
        <f>SUMIFS('Lleoliadau Cyflwyno'!$M:$M,'Lleoliadau Cyflwyno'!$E:$E,"Cerddoriaeth",'Lleoliadau Cyflwyno'!$D:$D,"Amatur",'Lleoliadau Cyflwyno'!$I:$I,"Ie")</f>
        <v>0</v>
      </c>
      <c r="D1052" s="102">
        <f t="shared" si="590"/>
        <v>1</v>
      </c>
      <c r="E1052" s="14"/>
      <c r="F1052" s="14"/>
      <c r="G1052" s="14"/>
      <c r="H1052" s="14"/>
      <c r="I1052" s="14"/>
      <c r="J1052" s="14"/>
      <c r="K1052" s="100"/>
      <c r="L1052" s="102">
        <f t="shared" si="584"/>
        <v>1</v>
      </c>
      <c r="M1052" s="102" t="str">
        <f t="shared" si="617"/>
        <v>ok</v>
      </c>
    </row>
    <row r="1053" spans="1:13">
      <c r="A1053" s="128"/>
      <c r="B1053" s="131" t="s">
        <v>826</v>
      </c>
      <c r="C1053" s="129">
        <f>SUMIFS('Lleoliadau Cyflwyno'!$N:$N,'Lleoliadau Cyflwyno'!$E:$E,"Cerddoriaeth",'Lleoliadau Cyflwyno'!$D:$D,"Amatur",'Lleoliadau Cyflwyno'!$I:$I,"Ie")</f>
        <v>0</v>
      </c>
      <c r="D1053" s="102">
        <f t="shared" si="590"/>
        <v>1</v>
      </c>
      <c r="E1053" s="14"/>
      <c r="F1053" s="14"/>
      <c r="G1053" s="14"/>
      <c r="H1053" s="14"/>
      <c r="I1053" s="14"/>
      <c r="J1053" s="14"/>
      <c r="K1053" s="100"/>
      <c r="L1053" s="102">
        <f t="shared" si="584"/>
        <v>1</v>
      </c>
      <c r="M1053" s="102" t="str">
        <f t="shared" ref="M1053" si="618">IF(C1052&lt;=C1053,"ok","wrong")</f>
        <v>ok</v>
      </c>
    </row>
    <row r="1054" spans="1:13" ht="15">
      <c r="A1054" s="128"/>
      <c r="B1054" s="130" t="s">
        <v>827</v>
      </c>
      <c r="C1054" s="129">
        <f>COUNTIFS('Lleoliadau Cyflwyno'!$E:$E,"Cerddoriaeth",'Lleoliadau Cyflwyno'!$D:$D,"Amatur",'Lleoliadau Cyflwyno'!$J:$J,"Ie")</f>
        <v>0</v>
      </c>
      <c r="D1054" s="102">
        <f t="shared" si="590"/>
        <v>1</v>
      </c>
      <c r="E1054" s="14"/>
      <c r="F1054" s="14"/>
      <c r="G1054" s="14"/>
      <c r="H1054" s="14"/>
      <c r="I1054" s="14"/>
      <c r="J1054" s="14"/>
      <c r="K1054" s="100"/>
      <c r="L1054" s="102">
        <f t="shared" si="584"/>
        <v>1</v>
      </c>
      <c r="M1054" s="102" t="str">
        <f t="shared" ref="M1054:M1055" si="619">IF(AND(C1054&gt;=0.1,SUM(C1055)&gt;=C1054),"ok",IF(AND(C1054=0,SUM(C1055)=0),"ok",IF(AND(C1054&gt;0.1,SUM(C1055)=0),"wrong",IF(AND(C1054=0,SUM(C1055)&gt;0.1),"wrong"))))</f>
        <v>ok</v>
      </c>
    </row>
    <row r="1055" spans="1:13">
      <c r="A1055" s="128"/>
      <c r="B1055" s="131" t="s">
        <v>828</v>
      </c>
      <c r="C1055" s="129">
        <f>SUMIFS('Lleoliadau Cyflwyno'!$M:$M,'Lleoliadau Cyflwyno'!$E:$E,"Cerddoriaeth",'Lleoliadau Cyflwyno'!$D:$D,"Amatur",'Lleoliadau Cyflwyno'!$J:$J,"Ie")</f>
        <v>0</v>
      </c>
      <c r="D1055" s="102">
        <f t="shared" si="590"/>
        <v>1</v>
      </c>
      <c r="E1055" s="14"/>
      <c r="F1055" s="14"/>
      <c r="G1055" s="14"/>
      <c r="H1055" s="14"/>
      <c r="I1055" s="14"/>
      <c r="J1055" s="14"/>
      <c r="K1055" s="100"/>
      <c r="L1055" s="102">
        <f t="shared" si="584"/>
        <v>1</v>
      </c>
      <c r="M1055" s="102" t="str">
        <f t="shared" si="619"/>
        <v>ok</v>
      </c>
    </row>
    <row r="1056" spans="1:13">
      <c r="A1056" s="128"/>
      <c r="B1056" s="131" t="s">
        <v>829</v>
      </c>
      <c r="C1056" s="129">
        <f>SUMIFS('Lleoliadau Cyflwyno'!$N:$N,'Lleoliadau Cyflwyno'!$E:$E,"Cerddoriaeth",'Lleoliadau Cyflwyno'!$D:$D,"Amatur",'Lleoliadau Cyflwyno'!$J:$J,"Ie")</f>
        <v>0</v>
      </c>
      <c r="D1056" s="102">
        <f t="shared" si="590"/>
        <v>1</v>
      </c>
      <c r="E1056" s="14"/>
      <c r="F1056" s="14"/>
      <c r="G1056" s="14"/>
      <c r="H1056" s="14"/>
      <c r="I1056" s="14"/>
      <c r="J1056" s="14"/>
      <c r="K1056" s="100"/>
      <c r="L1056" s="102">
        <f t="shared" si="584"/>
        <v>1</v>
      </c>
      <c r="M1056" s="102" t="str">
        <f t="shared" ref="M1056" si="620">IF(C1055&lt;=C1056,"ok","wrong")</f>
        <v>ok</v>
      </c>
    </row>
    <row r="1057" spans="1:13" ht="15">
      <c r="A1057" s="128"/>
      <c r="B1057" s="130" t="s">
        <v>830</v>
      </c>
      <c r="C1057" s="129">
        <f>COUNTIFS('Lleoliadau Cyflwyno'!$E:$E,"Cerddoriaeth",'Lleoliadau Cyflwyno'!$D:$D,"Amatur",'Lleoliadau Cyflwyno'!$K:$K,"Ie")</f>
        <v>0</v>
      </c>
      <c r="D1057" s="102">
        <f t="shared" si="590"/>
        <v>1</v>
      </c>
      <c r="E1057" s="14"/>
      <c r="F1057" s="14"/>
      <c r="G1057" s="14"/>
      <c r="H1057" s="14"/>
      <c r="I1057" s="14"/>
      <c r="J1057" s="14"/>
      <c r="K1057" s="100"/>
      <c r="L1057" s="102">
        <f t="shared" si="584"/>
        <v>1</v>
      </c>
      <c r="M1057" s="102" t="str">
        <f t="shared" ref="M1057:M1058" si="621">IF(AND(C1057&gt;=0.1,SUM(C1058)&gt;=C1057),"ok",IF(AND(C1057=0,SUM(C1058)=0),"ok",IF(AND(C1057&gt;0.1,SUM(C1058)=0),"wrong",IF(AND(C1057=0,SUM(C1058)&gt;0.1),"wrong"))))</f>
        <v>ok</v>
      </c>
    </row>
    <row r="1058" spans="1:13" ht="29">
      <c r="A1058" s="128"/>
      <c r="B1058" s="131" t="s">
        <v>831</v>
      </c>
      <c r="C1058" s="129">
        <f>SUMIFS('Lleoliadau Cyflwyno'!$M:$M,'Lleoliadau Cyflwyno'!$E:$E,"Cerddoriaeth",'Lleoliadau Cyflwyno'!$D:$D,"Amatur",'Lleoliadau Cyflwyno'!$K:$K,"Ie")</f>
        <v>0</v>
      </c>
      <c r="D1058" s="102">
        <f t="shared" si="590"/>
        <v>1</v>
      </c>
      <c r="E1058" s="14"/>
      <c r="F1058" s="14"/>
      <c r="G1058" s="14"/>
      <c r="H1058" s="14"/>
      <c r="I1058" s="14"/>
      <c r="J1058" s="14"/>
      <c r="K1058" s="100"/>
      <c r="L1058" s="102">
        <f t="shared" si="584"/>
        <v>1</v>
      </c>
      <c r="M1058" s="102" t="str">
        <f t="shared" si="621"/>
        <v>ok</v>
      </c>
    </row>
    <row r="1059" spans="1:13" ht="29">
      <c r="A1059" s="128"/>
      <c r="B1059" s="131" t="s">
        <v>832</v>
      </c>
      <c r="C1059" s="129">
        <f>SUMIFS('Lleoliadau Cyflwyno'!$N:$N,'Lleoliadau Cyflwyno'!$E:$E,"Cerddoriaeth",'Lleoliadau Cyflwyno'!$D:$D,"Amatur",'Lleoliadau Cyflwyno'!$K:$K,"Ie")</f>
        <v>0</v>
      </c>
      <c r="D1059" s="102">
        <f t="shared" si="590"/>
        <v>1</v>
      </c>
      <c r="E1059" s="14"/>
      <c r="F1059" s="14"/>
      <c r="G1059" s="14"/>
      <c r="H1059" s="14"/>
      <c r="I1059" s="14"/>
      <c r="J1059" s="14"/>
      <c r="K1059" s="100"/>
      <c r="L1059" s="102">
        <f t="shared" si="584"/>
        <v>1</v>
      </c>
      <c r="M1059" s="102" t="str">
        <f t="shared" ref="M1059" si="622">IF(C1058&lt;=C1059,"ok","wrong")</f>
        <v>ok</v>
      </c>
    </row>
    <row r="1060" spans="1:13" ht="15">
      <c r="A1060" s="128" t="s">
        <v>835</v>
      </c>
      <c r="B1060" s="130" t="s">
        <v>797</v>
      </c>
      <c r="C1060" s="129">
        <f>COUNTIFS('Lleoliadau Cyflwyno'!$E:$E,"Opera",'Lleoliadau Cyflwyno'!$D:$D,"Proffesiynol",'Lleoliadau Cyflwyno'!$F:$F,"Ie")</f>
        <v>0</v>
      </c>
      <c r="D1060" s="102">
        <f t="shared" si="590"/>
        <v>1</v>
      </c>
      <c r="E1060" s="14"/>
      <c r="F1060" s="14"/>
      <c r="G1060" s="14"/>
      <c r="H1060" s="14"/>
      <c r="I1060" s="14"/>
      <c r="J1060" s="14"/>
      <c r="K1060" s="100"/>
      <c r="L1060" s="102">
        <f t="shared" si="584"/>
        <v>1</v>
      </c>
      <c r="M1060" s="102" t="str">
        <f t="shared" ref="M1060:M1061" si="623">IF(AND(C1060&gt;=0.1,SUM(C1061)&gt;=C1060),"ok",IF(AND(C1060=0,SUM(C1061)=0),"ok",IF(AND(C1060&gt;0.1,SUM(C1061)=0),"wrong",IF(AND(C1060=0,SUM(C1061)&gt;0.1),"wrong"))))</f>
        <v>ok</v>
      </c>
    </row>
    <row r="1061" spans="1:13">
      <c r="A1061" s="128"/>
      <c r="B1061" s="131" t="s">
        <v>798</v>
      </c>
      <c r="C1061" s="129">
        <f>SUMIFS('Lleoliadau Cyflwyno'!$M:$M,'Lleoliadau Cyflwyno'!$E:$E,"Opera",'Lleoliadau Cyflwyno'!$D:$D,"Proffesiynol",'Lleoliadau Cyflwyno'!$F:$F,"Ie")</f>
        <v>0</v>
      </c>
      <c r="D1061" s="102">
        <f t="shared" si="590"/>
        <v>1</v>
      </c>
      <c r="E1061" s="14"/>
      <c r="F1061" s="14"/>
      <c r="G1061" s="14"/>
      <c r="H1061" s="14"/>
      <c r="I1061" s="14"/>
      <c r="J1061" s="14"/>
      <c r="K1061" s="100"/>
      <c r="L1061" s="102">
        <f t="shared" si="584"/>
        <v>1</v>
      </c>
      <c r="M1061" s="102" t="str">
        <f t="shared" si="623"/>
        <v>ok</v>
      </c>
    </row>
    <row r="1062" spans="1:13">
      <c r="A1062" s="128"/>
      <c r="B1062" s="131" t="s">
        <v>799</v>
      </c>
      <c r="C1062" s="129">
        <f>SUMIFS('Lleoliadau Cyflwyno'!$N:$N,'Lleoliadau Cyflwyno'!$E:$E,"Opera",'Lleoliadau Cyflwyno'!$D:$D,"Proffesiynol",'Lleoliadau Cyflwyno'!$F:$F,"Ie")</f>
        <v>0</v>
      </c>
      <c r="D1062" s="102">
        <f t="shared" si="590"/>
        <v>1</v>
      </c>
      <c r="E1062" s="14"/>
      <c r="F1062" s="14"/>
      <c r="G1062" s="14"/>
      <c r="H1062" s="14"/>
      <c r="I1062" s="14"/>
      <c r="J1062" s="14"/>
      <c r="K1062" s="100"/>
      <c r="L1062" s="102">
        <f t="shared" si="584"/>
        <v>1</v>
      </c>
      <c r="M1062" s="102" t="str">
        <f t="shared" ref="M1062" si="624">IF(C1061&lt;=C1062,"ok","wrong")</f>
        <v>ok</v>
      </c>
    </row>
    <row r="1063" spans="1:13" ht="15">
      <c r="A1063" s="128"/>
      <c r="B1063" s="130" t="s">
        <v>800</v>
      </c>
      <c r="C1063" s="129">
        <f>COUNTIFS('Lleoliadau Cyflwyno'!$E:$E,"Opera",'Lleoliadau Cyflwyno'!$D:$D,"Proffesiynol",'Lleoliadau Cyflwyno'!$G:$G,"Ie")</f>
        <v>0</v>
      </c>
      <c r="D1063" s="102">
        <f t="shared" si="590"/>
        <v>1</v>
      </c>
      <c r="E1063" s="14"/>
      <c r="F1063" s="14"/>
      <c r="G1063" s="14"/>
      <c r="H1063" s="14"/>
      <c r="I1063" s="14"/>
      <c r="J1063" s="14"/>
      <c r="K1063" s="100"/>
      <c r="L1063" s="102">
        <f t="shared" si="584"/>
        <v>1</v>
      </c>
      <c r="M1063" s="102" t="str">
        <f t="shared" ref="M1063:M1064" si="625">IF(AND(C1063&gt;=0.1,SUM(C1064)&gt;=C1063),"ok",IF(AND(C1063=0,SUM(C1064)=0),"ok",IF(AND(C1063&gt;0.1,SUM(C1064)=0),"wrong",IF(AND(C1063=0,SUM(C1064)&gt;0.1),"wrong"))))</f>
        <v>ok</v>
      </c>
    </row>
    <row r="1064" spans="1:13">
      <c r="A1064" s="128"/>
      <c r="B1064" s="131" t="s">
        <v>801</v>
      </c>
      <c r="C1064" s="129">
        <f>SUMIFS('Lleoliadau Cyflwyno'!$M:$M,'Lleoliadau Cyflwyno'!$E:$E,"Opera",'Lleoliadau Cyflwyno'!$D:$D,"Proffesiynol",'Lleoliadau Cyflwyno'!$G:$G,"Ie")</f>
        <v>0</v>
      </c>
      <c r="D1064" s="102">
        <f t="shared" si="590"/>
        <v>1</v>
      </c>
      <c r="E1064" s="14"/>
      <c r="F1064" s="14"/>
      <c r="G1064" s="14"/>
      <c r="H1064" s="14"/>
      <c r="I1064" s="14"/>
      <c r="J1064" s="14"/>
      <c r="K1064" s="100"/>
      <c r="L1064" s="102">
        <f t="shared" si="584"/>
        <v>1</v>
      </c>
      <c r="M1064" s="102" t="str">
        <f t="shared" si="625"/>
        <v>ok</v>
      </c>
    </row>
    <row r="1065" spans="1:13">
      <c r="A1065" s="128"/>
      <c r="B1065" s="131" t="s">
        <v>802</v>
      </c>
      <c r="C1065" s="129">
        <f>SUMIFS('Lleoliadau Cyflwyno'!$N:$N,'Lleoliadau Cyflwyno'!$E:$E,"Opera",'Lleoliadau Cyflwyno'!$D:$D,"Proffesiynol",'Lleoliadau Cyflwyno'!$G:$G,"Ie")</f>
        <v>0</v>
      </c>
      <c r="D1065" s="102">
        <f t="shared" si="590"/>
        <v>1</v>
      </c>
      <c r="E1065" s="14"/>
      <c r="F1065" s="14"/>
      <c r="G1065" s="14"/>
      <c r="H1065" s="14"/>
      <c r="I1065" s="14"/>
      <c r="J1065" s="14"/>
      <c r="K1065" s="100"/>
      <c r="L1065" s="102">
        <f t="shared" si="584"/>
        <v>1</v>
      </c>
      <c r="M1065" s="102" t="str">
        <f t="shared" ref="M1065" si="626">IF(C1064&lt;=C1065,"ok","wrong")</f>
        <v>ok</v>
      </c>
    </row>
    <row r="1066" spans="1:13" ht="15">
      <c r="A1066" s="128"/>
      <c r="B1066" s="130" t="s">
        <v>803</v>
      </c>
      <c r="C1066" s="129">
        <f>COUNTIFS('Lleoliadau Cyflwyno'!$E:$E,"Opera",'Lleoliadau Cyflwyno'!$D:$D,"Proffesiynol",'Lleoliadau Cyflwyno'!$H:$H,"Ie")</f>
        <v>0</v>
      </c>
      <c r="D1066" s="102">
        <f t="shared" si="590"/>
        <v>1</v>
      </c>
      <c r="E1066" s="14"/>
      <c r="F1066" s="14"/>
      <c r="G1066" s="14"/>
      <c r="H1066" s="14"/>
      <c r="I1066" s="14"/>
      <c r="J1066" s="14"/>
      <c r="K1066" s="100"/>
      <c r="L1066" s="102">
        <f t="shared" si="584"/>
        <v>1</v>
      </c>
      <c r="M1066" s="102" t="str">
        <f t="shared" ref="M1066:M1067" si="627">IF(AND(C1066&gt;=0.1,SUM(C1067)&gt;=C1066),"ok",IF(AND(C1066=0,SUM(C1067)=0),"ok",IF(AND(C1066&gt;0.1,SUM(C1067)=0),"wrong",IF(AND(C1066=0,SUM(C1067)&gt;0.1),"wrong"))))</f>
        <v>ok</v>
      </c>
    </row>
    <row r="1067" spans="1:13">
      <c r="A1067" s="128"/>
      <c r="B1067" s="131" t="s">
        <v>804</v>
      </c>
      <c r="C1067" s="129">
        <f>SUMIFS('Lleoliadau Cyflwyno'!$M:$M,'Lleoliadau Cyflwyno'!$E:$E,"Opera",'Lleoliadau Cyflwyno'!$F:$F,"Proffesiynol",'Lleoliadau Cyflwyno'!$H:$H,"Ie")</f>
        <v>0</v>
      </c>
      <c r="D1067" s="102">
        <f t="shared" si="590"/>
        <v>1</v>
      </c>
      <c r="E1067" s="14"/>
      <c r="F1067" s="14"/>
      <c r="G1067" s="14"/>
      <c r="H1067" s="14"/>
      <c r="I1067" s="14"/>
      <c r="J1067" s="14"/>
      <c r="K1067" s="100"/>
      <c r="L1067" s="102">
        <f t="shared" si="584"/>
        <v>1</v>
      </c>
      <c r="M1067" s="102" t="str">
        <f t="shared" si="627"/>
        <v>ok</v>
      </c>
    </row>
    <row r="1068" spans="1:13">
      <c r="A1068" s="128"/>
      <c r="B1068" s="131" t="s">
        <v>805</v>
      </c>
      <c r="C1068" s="129">
        <f>SUMIFS('Lleoliadau Cyflwyno'!$N:$N,'Lleoliadau Cyflwyno'!$E:$E,"Opera",'Lleoliadau Cyflwyno'!$D:$D,"Proffesiynol",'Lleoliadau Cyflwyno'!$H:$H,"Ie")</f>
        <v>0</v>
      </c>
      <c r="D1068" s="102">
        <f t="shared" si="590"/>
        <v>1</v>
      </c>
      <c r="E1068" s="14"/>
      <c r="F1068" s="14"/>
      <c r="G1068" s="14"/>
      <c r="H1068" s="14"/>
      <c r="I1068" s="14"/>
      <c r="J1068" s="14"/>
      <c r="K1068" s="100"/>
      <c r="L1068" s="102">
        <f t="shared" ref="L1068:L1131" si="628">IF(M1068="ok",1,0)</f>
        <v>1</v>
      </c>
      <c r="M1068" s="102" t="str">
        <f t="shared" ref="M1068" si="629">IF(C1067&lt;=C1068,"ok","wrong")</f>
        <v>ok</v>
      </c>
    </row>
    <row r="1069" spans="1:13" ht="15">
      <c r="A1069" s="128"/>
      <c r="B1069" s="130" t="s">
        <v>806</v>
      </c>
      <c r="C1069" s="129">
        <f>COUNTIFS('Lleoliadau Cyflwyno'!$E:$E,"Opera",'Lleoliadau Cyflwyno'!$D:$D,"Proffesiynol",'Lleoliadau Cyflwyno'!$I:$I,"Ie")</f>
        <v>0</v>
      </c>
      <c r="D1069" s="102">
        <f t="shared" si="590"/>
        <v>1</v>
      </c>
      <c r="E1069" s="14"/>
      <c r="F1069" s="14"/>
      <c r="G1069" s="14"/>
      <c r="H1069" s="14"/>
      <c r="I1069" s="14"/>
      <c r="J1069" s="14"/>
      <c r="K1069" s="100"/>
      <c r="L1069" s="102">
        <f t="shared" si="628"/>
        <v>1</v>
      </c>
      <c r="M1069" s="102" t="str">
        <f t="shared" ref="M1069:M1070" si="630">IF(AND(C1069&gt;=0.1,SUM(C1070)&gt;=C1069),"ok",IF(AND(C1069=0,SUM(C1070)=0),"ok",IF(AND(C1069&gt;0.1,SUM(C1070)=0),"wrong",IF(AND(C1069=0,SUM(C1070)&gt;0.1),"wrong"))))</f>
        <v>ok</v>
      </c>
    </row>
    <row r="1070" spans="1:13">
      <c r="A1070" s="128"/>
      <c r="B1070" s="131" t="s">
        <v>807</v>
      </c>
      <c r="C1070" s="129">
        <f>SUMIFS('Lleoliadau Cyflwyno'!$M:$M,'Lleoliadau Cyflwyno'!$E:$E,"Opera",'Lleoliadau Cyflwyno'!$D:$D,"Proffesiynol",'Lleoliadau Cyflwyno'!$I:$I,"Ie")</f>
        <v>0</v>
      </c>
      <c r="D1070" s="102">
        <f t="shared" si="590"/>
        <v>1</v>
      </c>
      <c r="E1070" s="14"/>
      <c r="F1070" s="14"/>
      <c r="G1070" s="14"/>
      <c r="H1070" s="14"/>
      <c r="I1070" s="14"/>
      <c r="J1070" s="14"/>
      <c r="K1070" s="100"/>
      <c r="L1070" s="102">
        <f t="shared" si="628"/>
        <v>1</v>
      </c>
      <c r="M1070" s="102" t="str">
        <f t="shared" si="630"/>
        <v>ok</v>
      </c>
    </row>
    <row r="1071" spans="1:13" ht="29">
      <c r="A1071" s="128"/>
      <c r="B1071" s="131" t="s">
        <v>808</v>
      </c>
      <c r="C1071" s="129">
        <f>SUMIFS('Lleoliadau Cyflwyno'!$N:$N,'Lleoliadau Cyflwyno'!$E:$E,"Opera",'Lleoliadau Cyflwyno'!$D:$D,"Proffesiynol",'Lleoliadau Cyflwyno'!$I:$I,"Ie")</f>
        <v>0</v>
      </c>
      <c r="D1071" s="102">
        <f t="shared" si="590"/>
        <v>1</v>
      </c>
      <c r="E1071" s="14"/>
      <c r="F1071" s="14"/>
      <c r="G1071" s="14"/>
      <c r="H1071" s="14"/>
      <c r="I1071" s="14"/>
      <c r="J1071" s="14"/>
      <c r="K1071" s="100"/>
      <c r="L1071" s="102">
        <f t="shared" si="628"/>
        <v>1</v>
      </c>
      <c r="M1071" s="102" t="str">
        <f t="shared" ref="M1071" si="631">IF(C1070&lt;=C1071,"ok","wrong")</f>
        <v>ok</v>
      </c>
    </row>
    <row r="1072" spans="1:13" ht="15">
      <c r="A1072" s="128"/>
      <c r="B1072" s="130" t="s">
        <v>809</v>
      </c>
      <c r="C1072" s="129">
        <f>COUNTIFS('Lleoliadau Cyflwyno'!$E:$E,"Opera",'Lleoliadau Cyflwyno'!$D:$D,"Proffesiynol",'Lleoliadau Cyflwyno'!$J:$J,"Ie")</f>
        <v>0</v>
      </c>
      <c r="D1072" s="102">
        <f t="shared" si="590"/>
        <v>1</v>
      </c>
      <c r="E1072" s="14"/>
      <c r="F1072" s="14"/>
      <c r="G1072" s="14"/>
      <c r="H1072" s="14"/>
      <c r="I1072" s="14"/>
      <c r="J1072" s="14"/>
      <c r="K1072" s="100"/>
      <c r="L1072" s="102">
        <f t="shared" si="628"/>
        <v>1</v>
      </c>
      <c r="M1072" s="102" t="str">
        <f t="shared" ref="M1072:M1073" si="632">IF(AND(C1072&gt;=0.1,SUM(C1073)&gt;=C1072),"ok",IF(AND(C1072=0,SUM(C1073)=0),"ok",IF(AND(C1072&gt;0.1,SUM(C1073)=0),"wrong",IF(AND(C1072=0,SUM(C1073)&gt;0.1),"wrong"))))</f>
        <v>ok</v>
      </c>
    </row>
    <row r="1073" spans="1:13">
      <c r="A1073" s="128"/>
      <c r="B1073" s="131" t="s">
        <v>810</v>
      </c>
      <c r="C1073" s="129">
        <f>SUMIFS('Lleoliadau Cyflwyno'!$M:$M,'Lleoliadau Cyflwyno'!$E:$E,"Opera",'Lleoliadau Cyflwyno'!$D:$D,"Proffesiynol",'Lleoliadau Cyflwyno'!$J:$J,"Ie")</f>
        <v>0</v>
      </c>
      <c r="D1073" s="102">
        <f t="shared" si="590"/>
        <v>1</v>
      </c>
      <c r="E1073" s="14"/>
      <c r="F1073" s="14"/>
      <c r="G1073" s="14"/>
      <c r="H1073" s="14"/>
      <c r="I1073" s="14"/>
      <c r="J1073" s="14"/>
      <c r="K1073" s="100"/>
      <c r="L1073" s="102">
        <f t="shared" si="628"/>
        <v>1</v>
      </c>
      <c r="M1073" s="102" t="str">
        <f t="shared" si="632"/>
        <v>ok</v>
      </c>
    </row>
    <row r="1074" spans="1:13">
      <c r="A1074" s="128"/>
      <c r="B1074" s="131" t="s">
        <v>811</v>
      </c>
      <c r="C1074" s="129">
        <f>SUMIFS('Lleoliadau Cyflwyno'!$N:$N,'Lleoliadau Cyflwyno'!$E:$E,"Opera",'Lleoliadau Cyflwyno'!$D:$D,"Proffesiynol",'Lleoliadau Cyflwyno'!$J:$J,"Ie")</f>
        <v>0</v>
      </c>
      <c r="D1074" s="102">
        <f t="shared" si="590"/>
        <v>1</v>
      </c>
      <c r="E1074" s="14"/>
      <c r="F1074" s="14"/>
      <c r="G1074" s="14"/>
      <c r="H1074" s="14"/>
      <c r="I1074" s="14"/>
      <c r="J1074" s="14"/>
      <c r="K1074" s="100"/>
      <c r="L1074" s="102">
        <f t="shared" si="628"/>
        <v>1</v>
      </c>
      <c r="M1074" s="102" t="str">
        <f t="shared" ref="M1074" si="633">IF(C1073&lt;=C1074,"ok","wrong")</f>
        <v>ok</v>
      </c>
    </row>
    <row r="1075" spans="1:13" ht="15">
      <c r="A1075" s="128"/>
      <c r="B1075" s="130" t="s">
        <v>812</v>
      </c>
      <c r="C1075" s="129">
        <f>COUNTIFS('Lleoliadau Cyflwyno'!$E:$E,"Opera",'Lleoliadau Cyflwyno'!$D:$D,"Proffesiynol",'Lleoliadau Cyflwyno'!$K:$K,"Ie")</f>
        <v>0</v>
      </c>
      <c r="D1075" s="102">
        <f t="shared" si="590"/>
        <v>1</v>
      </c>
      <c r="E1075" s="14"/>
      <c r="F1075" s="14"/>
      <c r="G1075" s="14"/>
      <c r="H1075" s="14"/>
      <c r="I1075" s="14"/>
      <c r="J1075" s="14"/>
      <c r="K1075" s="100"/>
      <c r="L1075" s="102">
        <f t="shared" si="628"/>
        <v>1</v>
      </c>
      <c r="M1075" s="102" t="str">
        <f t="shared" ref="M1075:M1076" si="634">IF(AND(C1075&gt;=0.1,SUM(C1076)&gt;=C1075),"ok",IF(AND(C1075=0,SUM(C1076)=0),"ok",IF(AND(C1075&gt;0.1,SUM(C1076)=0),"wrong",IF(AND(C1075=0,SUM(C1076)&gt;0.1),"wrong"))))</f>
        <v>ok</v>
      </c>
    </row>
    <row r="1076" spans="1:13" ht="29">
      <c r="A1076" s="128"/>
      <c r="B1076" s="131" t="s">
        <v>813</v>
      </c>
      <c r="C1076" s="129">
        <f>SUMIFS('Lleoliadau Cyflwyno'!$M:$M,'Lleoliadau Cyflwyno'!$E:$E,"Opera",'Lleoliadau Cyflwyno'!$D:$D,"Proffesiynol",'Lleoliadau Cyflwyno'!$K:$K,"Ie")</f>
        <v>0</v>
      </c>
      <c r="D1076" s="102">
        <f t="shared" ref="D1076:D1139" si="635">L1076</f>
        <v>1</v>
      </c>
      <c r="E1076" s="14"/>
      <c r="F1076" s="14"/>
      <c r="G1076" s="14"/>
      <c r="H1076" s="14"/>
      <c r="I1076" s="14"/>
      <c r="J1076" s="14"/>
      <c r="K1076" s="100"/>
      <c r="L1076" s="102">
        <f t="shared" si="628"/>
        <v>1</v>
      </c>
      <c r="M1076" s="102" t="str">
        <f t="shared" si="634"/>
        <v>ok</v>
      </c>
    </row>
    <row r="1077" spans="1:13" ht="29">
      <c r="A1077" s="128"/>
      <c r="B1077" s="131" t="s">
        <v>814</v>
      </c>
      <c r="C1077" s="129">
        <f>SUMIFS('Lleoliadau Cyflwyno'!$N:$N,'Lleoliadau Cyflwyno'!$E:$E,"Opera",'Lleoliadau Cyflwyno'!$D:$D,"Proffesiynol",'Lleoliadau Cyflwyno'!$K:$K,"Ie")</f>
        <v>0</v>
      </c>
      <c r="D1077" s="102">
        <f t="shared" si="635"/>
        <v>1</v>
      </c>
      <c r="E1077" s="14"/>
      <c r="F1077" s="14"/>
      <c r="G1077" s="14"/>
      <c r="H1077" s="14"/>
      <c r="I1077" s="14"/>
      <c r="J1077" s="14"/>
      <c r="K1077" s="100"/>
      <c r="L1077" s="102">
        <f t="shared" si="628"/>
        <v>1</v>
      </c>
      <c r="M1077" s="102" t="str">
        <f t="shared" ref="M1077" si="636">IF(C1076&lt;=C1077,"ok","wrong")</f>
        <v>ok</v>
      </c>
    </row>
    <row r="1078" spans="1:13" ht="15">
      <c r="A1078" s="128"/>
      <c r="B1078" s="130" t="s">
        <v>815</v>
      </c>
      <c r="C1078" s="129">
        <f>COUNTIFS('Lleoliadau Cyflwyno'!$E:$E,"Opera",'Lleoliadau Cyflwyno'!$D:$D,"Amatur",'Lleoliadau Cyflwyno'!$F:$F,"Ie")</f>
        <v>0</v>
      </c>
      <c r="D1078" s="102">
        <f t="shared" si="635"/>
        <v>1</v>
      </c>
      <c r="E1078" s="14"/>
      <c r="F1078" s="14"/>
      <c r="G1078" s="14"/>
      <c r="H1078" s="14"/>
      <c r="I1078" s="14"/>
      <c r="J1078" s="14"/>
      <c r="K1078" s="100"/>
      <c r="L1078" s="102">
        <f t="shared" si="628"/>
        <v>1</v>
      </c>
      <c r="M1078" s="102" t="str">
        <f t="shared" ref="M1078:M1079" si="637">IF(AND(C1078&gt;=0.1,SUM(C1079)&gt;=C1078),"ok",IF(AND(C1078=0,SUM(C1079)=0),"ok",IF(AND(C1078&gt;0.1,SUM(C1079)=0),"wrong",IF(AND(C1078=0,SUM(C1079)&gt;0.1),"wrong"))))</f>
        <v>ok</v>
      </c>
    </row>
    <row r="1079" spans="1:13">
      <c r="A1079" s="128"/>
      <c r="B1079" s="131" t="s">
        <v>816</v>
      </c>
      <c r="C1079" s="129">
        <f>SUMIFS('Lleoliadau Cyflwyno'!$M:$M,'Lleoliadau Cyflwyno'!$E:$E,"Opera",'Lleoliadau Cyflwyno'!$D:$D,"Amatur",'Lleoliadau Cyflwyno'!$F:$F,"Ie")</f>
        <v>0</v>
      </c>
      <c r="D1079" s="102">
        <f t="shared" si="635"/>
        <v>1</v>
      </c>
      <c r="E1079" s="14"/>
      <c r="F1079" s="14"/>
      <c r="G1079" s="14"/>
      <c r="H1079" s="14"/>
      <c r="I1079" s="14"/>
      <c r="J1079" s="14"/>
      <c r="K1079" s="100"/>
      <c r="L1079" s="102">
        <f t="shared" si="628"/>
        <v>1</v>
      </c>
      <c r="M1079" s="102" t="str">
        <f t="shared" si="637"/>
        <v>ok</v>
      </c>
    </row>
    <row r="1080" spans="1:13">
      <c r="A1080" s="128"/>
      <c r="B1080" s="131" t="s">
        <v>817</v>
      </c>
      <c r="C1080" s="129">
        <f>SUMIFS('Lleoliadau Cyflwyno'!$N:$N,'Lleoliadau Cyflwyno'!$E:$E,"Opera",'Lleoliadau Cyflwyno'!$D:$D,"Amatur",'Lleoliadau Cyflwyno'!$F:$F,"Ie")</f>
        <v>0</v>
      </c>
      <c r="D1080" s="102">
        <f t="shared" si="635"/>
        <v>1</v>
      </c>
      <c r="E1080" s="14"/>
      <c r="F1080" s="14"/>
      <c r="G1080" s="14"/>
      <c r="H1080" s="14"/>
      <c r="I1080" s="14"/>
      <c r="J1080" s="14"/>
      <c r="K1080" s="100"/>
      <c r="L1080" s="102">
        <f t="shared" si="628"/>
        <v>1</v>
      </c>
      <c r="M1080" s="102" t="str">
        <f t="shared" ref="M1080" si="638">IF(C1079&lt;=C1080,"ok","wrong")</f>
        <v>ok</v>
      </c>
    </row>
    <row r="1081" spans="1:13" ht="15">
      <c r="A1081" s="128"/>
      <c r="B1081" s="130" t="s">
        <v>818</v>
      </c>
      <c r="C1081" s="129">
        <f>COUNTIFS('Lleoliadau Cyflwyno'!$E:$E,"Opera",'Lleoliadau Cyflwyno'!$D:$D,"Amatur",'Lleoliadau Cyflwyno'!$G:$G,"Ie")</f>
        <v>0</v>
      </c>
      <c r="D1081" s="102">
        <f t="shared" si="635"/>
        <v>1</v>
      </c>
      <c r="E1081" s="14"/>
      <c r="F1081" s="14"/>
      <c r="G1081" s="14"/>
      <c r="H1081" s="14"/>
      <c r="I1081" s="14"/>
      <c r="J1081" s="14"/>
      <c r="K1081" s="100"/>
      <c r="L1081" s="102">
        <f t="shared" si="628"/>
        <v>1</v>
      </c>
      <c r="M1081" s="102" t="str">
        <f t="shared" ref="M1081:M1082" si="639">IF(AND(C1081&gt;=0.1,SUM(C1082)&gt;=C1081),"ok",IF(AND(C1081=0,SUM(C1082)=0),"ok",IF(AND(C1081&gt;0.1,SUM(C1082)=0),"wrong",IF(AND(C1081=0,SUM(C1082)&gt;0.1),"wrong"))))</f>
        <v>ok</v>
      </c>
    </row>
    <row r="1082" spans="1:13">
      <c r="A1082" s="128"/>
      <c r="B1082" s="131" t="s">
        <v>819</v>
      </c>
      <c r="C1082" s="129">
        <f>SUMIFS('Lleoliadau Cyflwyno'!$M:$M,'Lleoliadau Cyflwyno'!$E:$E,"Opera",'Lleoliadau Cyflwyno'!$D:$D,"Amatur",'Lleoliadau Cyflwyno'!$G:$G,"Ie")</f>
        <v>0</v>
      </c>
      <c r="D1082" s="102">
        <f t="shared" si="635"/>
        <v>1</v>
      </c>
      <c r="E1082" s="14"/>
      <c r="F1082" s="14"/>
      <c r="G1082" s="14"/>
      <c r="H1082" s="14"/>
      <c r="I1082" s="14"/>
      <c r="J1082" s="14"/>
      <c r="K1082" s="100"/>
      <c r="L1082" s="102">
        <f t="shared" si="628"/>
        <v>1</v>
      </c>
      <c r="M1082" s="102" t="str">
        <f t="shared" si="639"/>
        <v>ok</v>
      </c>
    </row>
    <row r="1083" spans="1:13">
      <c r="A1083" s="128"/>
      <c r="B1083" s="131" t="s">
        <v>820</v>
      </c>
      <c r="C1083" s="129">
        <f>SUMIFS('Lleoliadau Cyflwyno'!$N:$N,'Lleoliadau Cyflwyno'!$E:$E,"Opera",'Lleoliadau Cyflwyno'!$D:$D,"Amatur",'Lleoliadau Cyflwyno'!$G:$G,"Ie")</f>
        <v>0</v>
      </c>
      <c r="D1083" s="102">
        <f t="shared" si="635"/>
        <v>1</v>
      </c>
      <c r="E1083" s="14"/>
      <c r="F1083" s="14"/>
      <c r="G1083" s="14"/>
      <c r="H1083" s="14"/>
      <c r="I1083" s="14"/>
      <c r="J1083" s="14"/>
      <c r="K1083" s="100"/>
      <c r="L1083" s="102">
        <f t="shared" si="628"/>
        <v>1</v>
      </c>
      <c r="M1083" s="102" t="str">
        <f t="shared" ref="M1083" si="640">IF(C1082&lt;=C1083,"ok","wrong")</f>
        <v>ok</v>
      </c>
    </row>
    <row r="1084" spans="1:13" ht="15">
      <c r="A1084" s="128"/>
      <c r="B1084" s="130" t="s">
        <v>821</v>
      </c>
      <c r="C1084" s="129">
        <f>COUNTIFS('Lleoliadau Cyflwyno'!$E:$E,"Opera",'Lleoliadau Cyflwyno'!$D:$D,"Amatur",'Lleoliadau Cyflwyno'!$H:$H,"Ie")</f>
        <v>0</v>
      </c>
      <c r="D1084" s="102">
        <f t="shared" si="635"/>
        <v>1</v>
      </c>
      <c r="E1084" s="14"/>
      <c r="F1084" s="14"/>
      <c r="G1084" s="14"/>
      <c r="H1084" s="14"/>
      <c r="I1084" s="14"/>
      <c r="J1084" s="14"/>
      <c r="K1084" s="100"/>
      <c r="L1084" s="102">
        <f t="shared" si="628"/>
        <v>1</v>
      </c>
      <c r="M1084" s="102" t="str">
        <f t="shared" ref="M1084:M1085" si="641">IF(AND(C1084&gt;=0.1,SUM(C1085)&gt;=C1084),"ok",IF(AND(C1084=0,SUM(C1085)=0),"ok",IF(AND(C1084&gt;0.1,SUM(C1085)=0),"wrong",IF(AND(C1084=0,SUM(C1085)&gt;0.1),"wrong"))))</f>
        <v>ok</v>
      </c>
    </row>
    <row r="1085" spans="1:13">
      <c r="A1085" s="128"/>
      <c r="B1085" s="131" t="s">
        <v>822</v>
      </c>
      <c r="C1085" s="129">
        <f>SUMIFS('Lleoliadau Cyflwyno'!$M:$M,'Lleoliadau Cyflwyno'!$E:$E,"Opera",'Lleoliadau Cyflwyno'!$D:$D,"Amatur",'Lleoliadau Cyflwyno'!$H:$H,"Ie")</f>
        <v>0</v>
      </c>
      <c r="D1085" s="102">
        <f t="shared" si="635"/>
        <v>1</v>
      </c>
      <c r="E1085" s="14"/>
      <c r="F1085" s="14"/>
      <c r="G1085" s="14"/>
      <c r="H1085" s="14"/>
      <c r="I1085" s="14"/>
      <c r="J1085" s="14"/>
      <c r="K1085" s="100"/>
      <c r="L1085" s="102">
        <f t="shared" si="628"/>
        <v>1</v>
      </c>
      <c r="M1085" s="102" t="str">
        <f t="shared" si="641"/>
        <v>ok</v>
      </c>
    </row>
    <row r="1086" spans="1:13">
      <c r="A1086" s="128"/>
      <c r="B1086" s="131" t="s">
        <v>823</v>
      </c>
      <c r="C1086" s="129">
        <f>SUMIFS('Lleoliadau Cyflwyno'!$N:$N,'Lleoliadau Cyflwyno'!$E:$E,"Opera",'Lleoliadau Cyflwyno'!$D:$D,"Amatur",'Lleoliadau Cyflwyno'!$H:$H,"Ie")</f>
        <v>0</v>
      </c>
      <c r="D1086" s="102">
        <f t="shared" si="635"/>
        <v>1</v>
      </c>
      <c r="E1086" s="14"/>
      <c r="F1086" s="14"/>
      <c r="G1086" s="14"/>
      <c r="H1086" s="14"/>
      <c r="I1086" s="14"/>
      <c r="J1086" s="14"/>
      <c r="K1086" s="100"/>
      <c r="L1086" s="102">
        <f t="shared" si="628"/>
        <v>1</v>
      </c>
      <c r="M1086" s="102" t="str">
        <f t="shared" ref="M1086" si="642">IF(C1085&lt;=C1086,"ok","wrong")</f>
        <v>ok</v>
      </c>
    </row>
    <row r="1087" spans="1:13" ht="15">
      <c r="A1087" s="128"/>
      <c r="B1087" s="130" t="s">
        <v>824</v>
      </c>
      <c r="C1087" s="129">
        <f>COUNTIFS('Lleoliadau Cyflwyno'!$E:$E,"Opera",'Lleoliadau Cyflwyno'!$D:$D,"Amatur",'Lleoliadau Cyflwyno'!$I:$I,"Ie")</f>
        <v>0</v>
      </c>
      <c r="D1087" s="102">
        <f t="shared" si="635"/>
        <v>1</v>
      </c>
      <c r="E1087" s="14"/>
      <c r="F1087" s="14"/>
      <c r="G1087" s="14"/>
      <c r="H1087" s="14"/>
      <c r="I1087" s="14"/>
      <c r="J1087" s="14"/>
      <c r="K1087" s="100"/>
      <c r="L1087" s="102">
        <f t="shared" si="628"/>
        <v>1</v>
      </c>
      <c r="M1087" s="102" t="str">
        <f t="shared" ref="M1087:M1088" si="643">IF(AND(C1087&gt;=0.1,SUM(C1088)&gt;=C1087),"ok",IF(AND(C1087=0,SUM(C1088)=0),"ok",IF(AND(C1087&gt;0.1,SUM(C1088)=0),"wrong",IF(AND(C1087=0,SUM(C1088)&gt;0.1),"wrong"))))</f>
        <v>ok</v>
      </c>
    </row>
    <row r="1088" spans="1:13">
      <c r="A1088" s="128"/>
      <c r="B1088" s="131" t="s">
        <v>825</v>
      </c>
      <c r="C1088" s="129">
        <f>SUMIFS('Lleoliadau Cyflwyno'!$M:$M,'Lleoliadau Cyflwyno'!$E:$E,"Opera",'Lleoliadau Cyflwyno'!$D:$D,"Amatur",'Lleoliadau Cyflwyno'!$I:$I,"Ie")</f>
        <v>0</v>
      </c>
      <c r="D1088" s="102">
        <f t="shared" si="635"/>
        <v>1</v>
      </c>
      <c r="E1088" s="14"/>
      <c r="F1088" s="14"/>
      <c r="G1088" s="14"/>
      <c r="H1088" s="14"/>
      <c r="I1088" s="14"/>
      <c r="J1088" s="14"/>
      <c r="K1088" s="100"/>
      <c r="L1088" s="102">
        <f t="shared" si="628"/>
        <v>1</v>
      </c>
      <c r="M1088" s="102" t="str">
        <f t="shared" si="643"/>
        <v>ok</v>
      </c>
    </row>
    <row r="1089" spans="1:13">
      <c r="A1089" s="128"/>
      <c r="B1089" s="131" t="s">
        <v>826</v>
      </c>
      <c r="C1089" s="129">
        <f>SUMIFS('Lleoliadau Cyflwyno'!$N:$N,'Lleoliadau Cyflwyno'!$E:$E,"Opera",'Lleoliadau Cyflwyno'!$D:$D,"Amatur",'Lleoliadau Cyflwyno'!$I:$I,"Ie")</f>
        <v>0</v>
      </c>
      <c r="D1089" s="102">
        <f t="shared" si="635"/>
        <v>1</v>
      </c>
      <c r="E1089" s="14"/>
      <c r="F1089" s="14"/>
      <c r="G1089" s="14"/>
      <c r="H1089" s="14"/>
      <c r="I1089" s="14"/>
      <c r="J1089" s="14"/>
      <c r="K1089" s="100"/>
      <c r="L1089" s="102">
        <f t="shared" si="628"/>
        <v>1</v>
      </c>
      <c r="M1089" s="102" t="str">
        <f t="shared" ref="M1089" si="644">IF(C1088&lt;=C1089,"ok","wrong")</f>
        <v>ok</v>
      </c>
    </row>
    <row r="1090" spans="1:13" ht="15">
      <c r="A1090" s="128"/>
      <c r="B1090" s="130" t="s">
        <v>827</v>
      </c>
      <c r="C1090" s="129">
        <f>COUNTIFS('Lleoliadau Cyflwyno'!$E:$E,"Opera",'Lleoliadau Cyflwyno'!$D:$D,"Amatur",'Lleoliadau Cyflwyno'!$J:$J,"Ie")</f>
        <v>0</v>
      </c>
      <c r="D1090" s="102">
        <f t="shared" si="635"/>
        <v>1</v>
      </c>
      <c r="E1090" s="14"/>
      <c r="F1090" s="14"/>
      <c r="G1090" s="14"/>
      <c r="H1090" s="14"/>
      <c r="I1090" s="14"/>
      <c r="J1090" s="14"/>
      <c r="K1090" s="100"/>
      <c r="L1090" s="102">
        <f t="shared" si="628"/>
        <v>1</v>
      </c>
      <c r="M1090" s="102" t="str">
        <f t="shared" ref="M1090:M1091" si="645">IF(AND(C1090&gt;=0.1,SUM(C1091)&gt;=C1090),"ok",IF(AND(C1090=0,SUM(C1091)=0),"ok",IF(AND(C1090&gt;0.1,SUM(C1091)=0),"wrong",IF(AND(C1090=0,SUM(C1091)&gt;0.1),"wrong"))))</f>
        <v>ok</v>
      </c>
    </row>
    <row r="1091" spans="1:13">
      <c r="A1091" s="128"/>
      <c r="B1091" s="131" t="s">
        <v>828</v>
      </c>
      <c r="C1091" s="129">
        <f>SUMIFS('Lleoliadau Cyflwyno'!$M:$M,'Lleoliadau Cyflwyno'!$E:$E,"Opera",'Lleoliadau Cyflwyno'!$D:$D,"Amatur",'Lleoliadau Cyflwyno'!$J:$J,"Ie")</f>
        <v>0</v>
      </c>
      <c r="D1091" s="102">
        <f t="shared" si="635"/>
        <v>1</v>
      </c>
      <c r="E1091" s="14"/>
      <c r="F1091" s="14"/>
      <c r="G1091" s="14"/>
      <c r="H1091" s="14"/>
      <c r="I1091" s="14"/>
      <c r="J1091" s="14"/>
      <c r="K1091" s="100"/>
      <c r="L1091" s="102">
        <f t="shared" si="628"/>
        <v>1</v>
      </c>
      <c r="M1091" s="102" t="str">
        <f t="shared" si="645"/>
        <v>ok</v>
      </c>
    </row>
    <row r="1092" spans="1:13">
      <c r="A1092" s="128"/>
      <c r="B1092" s="131" t="s">
        <v>829</v>
      </c>
      <c r="C1092" s="129">
        <f>SUMIFS('Lleoliadau Cyflwyno'!$N:$N,'Lleoliadau Cyflwyno'!$E:$E,"Opera",'Lleoliadau Cyflwyno'!$D:$D,"Amatur",'Lleoliadau Cyflwyno'!$J:$J,"Ie")</f>
        <v>0</v>
      </c>
      <c r="D1092" s="102">
        <f t="shared" si="635"/>
        <v>1</v>
      </c>
      <c r="E1092" s="14"/>
      <c r="F1092" s="14"/>
      <c r="G1092" s="14"/>
      <c r="H1092" s="14"/>
      <c r="I1092" s="14"/>
      <c r="J1092" s="14"/>
      <c r="K1092" s="100"/>
      <c r="L1092" s="102">
        <f t="shared" si="628"/>
        <v>1</v>
      </c>
      <c r="M1092" s="102" t="str">
        <f t="shared" ref="M1092" si="646">IF(C1091&lt;=C1092,"ok","wrong")</f>
        <v>ok</v>
      </c>
    </row>
    <row r="1093" spans="1:13" ht="15">
      <c r="A1093" s="128"/>
      <c r="B1093" s="130" t="s">
        <v>830</v>
      </c>
      <c r="C1093" s="129">
        <f>COUNTIFS('Lleoliadau Cyflwyno'!$E:$E,"Opera",'Lleoliadau Cyflwyno'!$D:$D,"Amatur",'Lleoliadau Cyflwyno'!$K:$K,"Ie")</f>
        <v>0</v>
      </c>
      <c r="D1093" s="102">
        <f t="shared" si="635"/>
        <v>1</v>
      </c>
      <c r="E1093" s="14"/>
      <c r="F1093" s="14"/>
      <c r="G1093" s="14"/>
      <c r="H1093" s="14"/>
      <c r="I1093" s="14"/>
      <c r="J1093" s="14"/>
      <c r="K1093" s="100"/>
      <c r="L1093" s="102">
        <f t="shared" si="628"/>
        <v>1</v>
      </c>
      <c r="M1093" s="102" t="str">
        <f t="shared" ref="M1093:M1094" si="647">IF(AND(C1093&gt;=0.1,SUM(C1094)&gt;=C1093),"ok",IF(AND(C1093=0,SUM(C1094)=0),"ok",IF(AND(C1093&gt;0.1,SUM(C1094)=0),"wrong",IF(AND(C1093=0,SUM(C1094)&gt;0.1),"wrong"))))</f>
        <v>ok</v>
      </c>
    </row>
    <row r="1094" spans="1:13" ht="29">
      <c r="A1094" s="128"/>
      <c r="B1094" s="131" t="s">
        <v>831</v>
      </c>
      <c r="C1094" s="129">
        <f>SUMIFS('Lleoliadau Cyflwyno'!$M:$M,'Lleoliadau Cyflwyno'!$E:$E,"Opera",'Lleoliadau Cyflwyno'!$D:$D,"Amatur",'Lleoliadau Cyflwyno'!$K:$K,"Ie")</f>
        <v>0</v>
      </c>
      <c r="D1094" s="102">
        <f t="shared" si="635"/>
        <v>1</v>
      </c>
      <c r="E1094" s="14"/>
      <c r="F1094" s="14"/>
      <c r="G1094" s="14"/>
      <c r="H1094" s="14"/>
      <c r="I1094" s="14"/>
      <c r="J1094" s="14"/>
      <c r="K1094" s="100"/>
      <c r="L1094" s="102">
        <f t="shared" si="628"/>
        <v>1</v>
      </c>
      <c r="M1094" s="102" t="str">
        <f t="shared" si="647"/>
        <v>ok</v>
      </c>
    </row>
    <row r="1095" spans="1:13" ht="29">
      <c r="A1095" s="128"/>
      <c r="B1095" s="131" t="s">
        <v>832</v>
      </c>
      <c r="C1095" s="129">
        <f>SUMIFS('Lleoliadau Cyflwyno'!$N:$N,'Lleoliadau Cyflwyno'!$E:$E,"Opera",'Lleoliadau Cyflwyno'!$D:$D,"Amatur",'Lleoliadau Cyflwyno'!$K:$K,"Ie")</f>
        <v>0</v>
      </c>
      <c r="D1095" s="102">
        <f t="shared" si="635"/>
        <v>1</v>
      </c>
      <c r="E1095" s="14"/>
      <c r="F1095" s="14"/>
      <c r="G1095" s="14"/>
      <c r="H1095" s="14"/>
      <c r="I1095" s="14"/>
      <c r="J1095" s="14"/>
      <c r="K1095" s="100"/>
      <c r="L1095" s="102">
        <f t="shared" si="628"/>
        <v>1</v>
      </c>
      <c r="M1095" s="102" t="str">
        <f t="shared" ref="M1095" si="648">IF(C1094&lt;=C1095,"ok","wrong")</f>
        <v>ok</v>
      </c>
    </row>
    <row r="1096" spans="1:13" ht="15">
      <c r="A1096" s="128" t="s">
        <v>836</v>
      </c>
      <c r="B1096" s="130" t="s">
        <v>797</v>
      </c>
      <c r="C1096" s="129">
        <f>COUNTIFS('Lleoliadau Cyflwyno'!$E:$E,"Adloniant Theatr",'Lleoliadau Cyflwyno'!$D:$D,"Proffesiynol",'Lleoliadau Cyflwyno'!$F:$F,"Ie")</f>
        <v>0</v>
      </c>
      <c r="D1096" s="102">
        <f t="shared" si="635"/>
        <v>1</v>
      </c>
      <c r="E1096" s="14"/>
      <c r="F1096" s="14"/>
      <c r="G1096" s="14"/>
      <c r="H1096" s="14"/>
      <c r="I1096" s="14"/>
      <c r="J1096" s="14"/>
      <c r="K1096" s="100"/>
      <c r="L1096" s="102">
        <f t="shared" si="628"/>
        <v>1</v>
      </c>
      <c r="M1096" s="102" t="str">
        <f t="shared" ref="M1096:M1097" si="649">IF(AND(C1096&gt;=0.1,SUM(C1097)&gt;=C1096),"ok",IF(AND(C1096=0,SUM(C1097)=0),"ok",IF(AND(C1096&gt;0.1,SUM(C1097)=0),"wrong",IF(AND(C1096=0,SUM(C1097)&gt;0.1),"wrong"))))</f>
        <v>ok</v>
      </c>
    </row>
    <row r="1097" spans="1:13">
      <c r="A1097" s="128"/>
      <c r="B1097" s="131" t="s">
        <v>798</v>
      </c>
      <c r="C1097" s="129">
        <f>SUMIFS('Lleoliadau Cyflwyno'!$M:$M,'Lleoliadau Cyflwyno'!$E:$E,"Adloniant Theatr",'Lleoliadau Cyflwyno'!$D:$D,"Proffesiynol",'Lleoliadau Cyflwyno'!$F:$F,"Ie")</f>
        <v>0</v>
      </c>
      <c r="D1097" s="102">
        <f t="shared" si="635"/>
        <v>1</v>
      </c>
      <c r="E1097" s="14"/>
      <c r="F1097" s="14"/>
      <c r="G1097" s="14"/>
      <c r="H1097" s="14"/>
      <c r="I1097" s="14"/>
      <c r="J1097" s="14"/>
      <c r="K1097" s="100"/>
      <c r="L1097" s="102">
        <f t="shared" si="628"/>
        <v>1</v>
      </c>
      <c r="M1097" s="102" t="str">
        <f t="shared" si="649"/>
        <v>ok</v>
      </c>
    </row>
    <row r="1098" spans="1:13">
      <c r="A1098" s="128"/>
      <c r="B1098" s="131" t="s">
        <v>799</v>
      </c>
      <c r="C1098" s="129">
        <f>SUMIFS('Lleoliadau Cyflwyno'!$N:$N,'Lleoliadau Cyflwyno'!$E:$E,"Adloniant Theatr",'Lleoliadau Cyflwyno'!$D:$D,"Proffesiynol",'Lleoliadau Cyflwyno'!$F:$F,"Ie")</f>
        <v>0</v>
      </c>
      <c r="D1098" s="102">
        <f t="shared" si="635"/>
        <v>1</v>
      </c>
      <c r="E1098" s="14"/>
      <c r="F1098" s="14"/>
      <c r="G1098" s="14"/>
      <c r="H1098" s="14"/>
      <c r="I1098" s="14"/>
      <c r="J1098" s="14"/>
      <c r="K1098" s="100"/>
      <c r="L1098" s="102">
        <f t="shared" si="628"/>
        <v>1</v>
      </c>
      <c r="M1098" s="102" t="str">
        <f t="shared" ref="M1098" si="650">IF(C1097&lt;=C1098,"ok","wrong")</f>
        <v>ok</v>
      </c>
    </row>
    <row r="1099" spans="1:13" ht="15">
      <c r="A1099" s="128"/>
      <c r="B1099" s="130" t="s">
        <v>800</v>
      </c>
      <c r="C1099" s="129">
        <f>COUNTIFS('Lleoliadau Cyflwyno'!$E:$E,"Adloniant Theatr",'Lleoliadau Cyflwyno'!$D:$D,"Proffesiynol",'Lleoliadau Cyflwyno'!$G:$G,"Ie")</f>
        <v>0</v>
      </c>
      <c r="D1099" s="102">
        <f t="shared" si="635"/>
        <v>1</v>
      </c>
      <c r="E1099" s="14"/>
      <c r="F1099" s="14"/>
      <c r="G1099" s="14"/>
      <c r="H1099" s="14"/>
      <c r="I1099" s="14"/>
      <c r="J1099" s="14"/>
      <c r="K1099" s="100"/>
      <c r="L1099" s="102">
        <f t="shared" si="628"/>
        <v>1</v>
      </c>
      <c r="M1099" s="102" t="str">
        <f t="shared" ref="M1099:M1100" si="651">IF(AND(C1099&gt;=0.1,SUM(C1100)&gt;=C1099),"ok",IF(AND(C1099=0,SUM(C1100)=0),"ok",IF(AND(C1099&gt;0.1,SUM(C1100)=0),"wrong",IF(AND(C1099=0,SUM(C1100)&gt;0.1),"wrong"))))</f>
        <v>ok</v>
      </c>
    </row>
    <row r="1100" spans="1:13">
      <c r="A1100" s="128"/>
      <c r="B1100" s="131" t="s">
        <v>801</v>
      </c>
      <c r="C1100" s="129">
        <f>SUMIFS('Lleoliadau Cyflwyno'!$M:$M,'Lleoliadau Cyflwyno'!$E:$E,"Adloniant Theatr",'Lleoliadau Cyflwyno'!$D:$D,"Proffesiynol",'Lleoliadau Cyflwyno'!$G:$G,"Ie")</f>
        <v>0</v>
      </c>
      <c r="D1100" s="102">
        <f t="shared" si="635"/>
        <v>1</v>
      </c>
      <c r="E1100" s="14"/>
      <c r="F1100" s="14"/>
      <c r="G1100" s="14"/>
      <c r="H1100" s="14"/>
      <c r="I1100" s="14"/>
      <c r="J1100" s="14"/>
      <c r="K1100" s="100"/>
      <c r="L1100" s="102">
        <f t="shared" si="628"/>
        <v>1</v>
      </c>
      <c r="M1100" s="102" t="str">
        <f t="shared" si="651"/>
        <v>ok</v>
      </c>
    </row>
    <row r="1101" spans="1:13">
      <c r="A1101" s="128"/>
      <c r="B1101" s="131" t="s">
        <v>802</v>
      </c>
      <c r="C1101" s="129">
        <f>SUMIFS('Lleoliadau Cyflwyno'!$N:$N,'Lleoliadau Cyflwyno'!$E:$E,"Adloniant Theatr",'Lleoliadau Cyflwyno'!$D:$D,"Proffesiynol",'Lleoliadau Cyflwyno'!$G:$G,"Ie")</f>
        <v>0</v>
      </c>
      <c r="D1101" s="102">
        <f t="shared" si="635"/>
        <v>1</v>
      </c>
      <c r="E1101" s="14"/>
      <c r="F1101" s="14"/>
      <c r="G1101" s="14"/>
      <c r="H1101" s="14"/>
      <c r="I1101" s="14"/>
      <c r="J1101" s="14"/>
      <c r="K1101" s="100"/>
      <c r="L1101" s="102">
        <f t="shared" si="628"/>
        <v>1</v>
      </c>
      <c r="M1101" s="102" t="str">
        <f t="shared" ref="M1101" si="652">IF(C1100&lt;=C1101,"ok","wrong")</f>
        <v>ok</v>
      </c>
    </row>
    <row r="1102" spans="1:13" ht="15">
      <c r="A1102" s="128"/>
      <c r="B1102" s="130" t="s">
        <v>803</v>
      </c>
      <c r="C1102" s="129">
        <f>COUNTIFS('Lleoliadau Cyflwyno'!$E:$E,"Adloniant Theatr",'Lleoliadau Cyflwyno'!$D:$D,"Proffesiynol",'Lleoliadau Cyflwyno'!$H:$H,"Ie")</f>
        <v>0</v>
      </c>
      <c r="D1102" s="102">
        <f t="shared" si="635"/>
        <v>1</v>
      </c>
      <c r="E1102" s="14"/>
      <c r="F1102" s="14"/>
      <c r="G1102" s="14"/>
      <c r="H1102" s="14"/>
      <c r="I1102" s="14"/>
      <c r="J1102" s="14"/>
      <c r="K1102" s="100"/>
      <c r="L1102" s="102">
        <f t="shared" si="628"/>
        <v>1</v>
      </c>
      <c r="M1102" s="102" t="str">
        <f t="shared" ref="M1102:M1103" si="653">IF(AND(C1102&gt;=0.1,SUM(C1103)&gt;=C1102),"ok",IF(AND(C1102=0,SUM(C1103)=0),"ok",IF(AND(C1102&gt;0.1,SUM(C1103)=0),"wrong",IF(AND(C1102=0,SUM(C1103)&gt;0.1),"wrong"))))</f>
        <v>ok</v>
      </c>
    </row>
    <row r="1103" spans="1:13">
      <c r="A1103" s="128"/>
      <c r="B1103" s="131" t="s">
        <v>804</v>
      </c>
      <c r="C1103" s="129">
        <f>SUMIFS('Lleoliadau Cyflwyno'!$M:$M,'Lleoliadau Cyflwyno'!$E:$E,"Adloniant Theatr",'Lleoliadau Cyflwyno'!$F:$F,"Proffesiynol",'Lleoliadau Cyflwyno'!$H:$H,"Ie")</f>
        <v>0</v>
      </c>
      <c r="D1103" s="102">
        <f t="shared" si="635"/>
        <v>1</v>
      </c>
      <c r="E1103" s="14"/>
      <c r="F1103" s="14"/>
      <c r="G1103" s="14"/>
      <c r="H1103" s="14"/>
      <c r="I1103" s="14"/>
      <c r="J1103" s="14"/>
      <c r="K1103" s="100"/>
      <c r="L1103" s="102">
        <f t="shared" si="628"/>
        <v>1</v>
      </c>
      <c r="M1103" s="102" t="str">
        <f t="shared" si="653"/>
        <v>ok</v>
      </c>
    </row>
    <row r="1104" spans="1:13">
      <c r="A1104" s="128"/>
      <c r="B1104" s="131" t="s">
        <v>805</v>
      </c>
      <c r="C1104" s="129">
        <f>SUMIFS('Lleoliadau Cyflwyno'!$N:$N,'Lleoliadau Cyflwyno'!$E:$E,"Adloniant Theatr",'Lleoliadau Cyflwyno'!$D:$D,"Proffesiynol",'Lleoliadau Cyflwyno'!$H:$H,"Ie")</f>
        <v>0</v>
      </c>
      <c r="D1104" s="102">
        <f t="shared" si="635"/>
        <v>1</v>
      </c>
      <c r="E1104" s="14"/>
      <c r="F1104" s="14"/>
      <c r="G1104" s="14"/>
      <c r="H1104" s="14"/>
      <c r="I1104" s="14"/>
      <c r="J1104" s="14"/>
      <c r="K1104" s="100"/>
      <c r="L1104" s="102">
        <f t="shared" si="628"/>
        <v>1</v>
      </c>
      <c r="M1104" s="102" t="str">
        <f t="shared" ref="M1104" si="654">IF(C1103&lt;=C1104,"ok","wrong")</f>
        <v>ok</v>
      </c>
    </row>
    <row r="1105" spans="1:13" ht="15">
      <c r="A1105" s="128"/>
      <c r="B1105" s="130" t="s">
        <v>806</v>
      </c>
      <c r="C1105" s="129">
        <f>COUNTIFS('Lleoliadau Cyflwyno'!$E:$E,"Adloniant Theatr",'Lleoliadau Cyflwyno'!$D:$D,"Proffesiynol",'Lleoliadau Cyflwyno'!$I:$I,"Ie")</f>
        <v>0</v>
      </c>
      <c r="D1105" s="102">
        <f t="shared" si="635"/>
        <v>1</v>
      </c>
      <c r="E1105" s="14"/>
      <c r="F1105" s="14"/>
      <c r="G1105" s="14"/>
      <c r="H1105" s="14"/>
      <c r="I1105" s="14"/>
      <c r="J1105" s="14"/>
      <c r="K1105" s="100"/>
      <c r="L1105" s="102">
        <f t="shared" si="628"/>
        <v>1</v>
      </c>
      <c r="M1105" s="102" t="str">
        <f t="shared" ref="M1105:M1106" si="655">IF(AND(C1105&gt;=0.1,SUM(C1106)&gt;=C1105),"ok",IF(AND(C1105=0,SUM(C1106)=0),"ok",IF(AND(C1105&gt;0.1,SUM(C1106)=0),"wrong",IF(AND(C1105=0,SUM(C1106)&gt;0.1),"wrong"))))</f>
        <v>ok</v>
      </c>
    </row>
    <row r="1106" spans="1:13">
      <c r="A1106" s="128"/>
      <c r="B1106" s="131" t="s">
        <v>807</v>
      </c>
      <c r="C1106" s="129">
        <f>SUMIFS('Lleoliadau Cyflwyno'!$M:$M,'Lleoliadau Cyflwyno'!$E:$E,"Adloniant Theatr",'Lleoliadau Cyflwyno'!$D:$D,"Proffesiynol",'Lleoliadau Cyflwyno'!$I:$I,"Ie")</f>
        <v>0</v>
      </c>
      <c r="D1106" s="102">
        <f t="shared" si="635"/>
        <v>1</v>
      </c>
      <c r="E1106" s="14"/>
      <c r="F1106" s="14"/>
      <c r="G1106" s="14"/>
      <c r="H1106" s="14"/>
      <c r="I1106" s="14"/>
      <c r="J1106" s="14"/>
      <c r="K1106" s="100"/>
      <c r="L1106" s="102">
        <f t="shared" si="628"/>
        <v>1</v>
      </c>
      <c r="M1106" s="102" t="str">
        <f t="shared" si="655"/>
        <v>ok</v>
      </c>
    </row>
    <row r="1107" spans="1:13" ht="29">
      <c r="A1107" s="128"/>
      <c r="B1107" s="131" t="s">
        <v>808</v>
      </c>
      <c r="C1107" s="129">
        <f>SUMIFS('Lleoliadau Cyflwyno'!$N:$N,'Lleoliadau Cyflwyno'!$E:$E,"Adloniant Theatr",'Lleoliadau Cyflwyno'!$D:$D,"Proffesiynol",'Lleoliadau Cyflwyno'!$I:$I,"Ie")</f>
        <v>0</v>
      </c>
      <c r="D1107" s="102">
        <f t="shared" si="635"/>
        <v>1</v>
      </c>
      <c r="E1107" s="14"/>
      <c r="F1107" s="14"/>
      <c r="G1107" s="14"/>
      <c r="H1107" s="14"/>
      <c r="I1107" s="14"/>
      <c r="J1107" s="14"/>
      <c r="K1107" s="100"/>
      <c r="L1107" s="102">
        <f t="shared" si="628"/>
        <v>1</v>
      </c>
      <c r="M1107" s="102" t="str">
        <f t="shared" ref="M1107" si="656">IF(C1106&lt;=C1107,"ok","wrong")</f>
        <v>ok</v>
      </c>
    </row>
    <row r="1108" spans="1:13" ht="15">
      <c r="A1108" s="128"/>
      <c r="B1108" s="130" t="s">
        <v>809</v>
      </c>
      <c r="C1108" s="129">
        <f>COUNTIFS('Lleoliadau Cyflwyno'!$E:$E,"Adloniant Theatr",'Lleoliadau Cyflwyno'!$D:$D,"Proffesiynol",'Lleoliadau Cyflwyno'!$J:$J,"Ie")</f>
        <v>0</v>
      </c>
      <c r="D1108" s="102">
        <f t="shared" si="635"/>
        <v>1</v>
      </c>
      <c r="E1108" s="14"/>
      <c r="F1108" s="14"/>
      <c r="G1108" s="14"/>
      <c r="H1108" s="14"/>
      <c r="I1108" s="14"/>
      <c r="J1108" s="14"/>
      <c r="K1108" s="100"/>
      <c r="L1108" s="102">
        <f t="shared" si="628"/>
        <v>1</v>
      </c>
      <c r="M1108" s="102" t="str">
        <f t="shared" ref="M1108:M1109" si="657">IF(AND(C1108&gt;=0.1,SUM(C1109)&gt;=C1108),"ok",IF(AND(C1108=0,SUM(C1109)=0),"ok",IF(AND(C1108&gt;0.1,SUM(C1109)=0),"wrong",IF(AND(C1108=0,SUM(C1109)&gt;0.1),"wrong"))))</f>
        <v>ok</v>
      </c>
    </row>
    <row r="1109" spans="1:13">
      <c r="A1109" s="128"/>
      <c r="B1109" s="131" t="s">
        <v>810</v>
      </c>
      <c r="C1109" s="129">
        <f>SUMIFS('Lleoliadau Cyflwyno'!$M:$M,'Lleoliadau Cyflwyno'!$E:$E,"Adloniant Theatr",'Lleoliadau Cyflwyno'!$D:$D,"Proffesiynol",'Lleoliadau Cyflwyno'!$J:$J,"Ie")</f>
        <v>0</v>
      </c>
      <c r="D1109" s="102">
        <f t="shared" si="635"/>
        <v>1</v>
      </c>
      <c r="E1109" s="14"/>
      <c r="F1109" s="14"/>
      <c r="G1109" s="14"/>
      <c r="H1109" s="14"/>
      <c r="I1109" s="14"/>
      <c r="J1109" s="14"/>
      <c r="K1109" s="100"/>
      <c r="L1109" s="102">
        <f t="shared" si="628"/>
        <v>1</v>
      </c>
      <c r="M1109" s="102" t="str">
        <f t="shared" si="657"/>
        <v>ok</v>
      </c>
    </row>
    <row r="1110" spans="1:13">
      <c r="A1110" s="128"/>
      <c r="B1110" s="131" t="s">
        <v>811</v>
      </c>
      <c r="C1110" s="129">
        <f>SUMIFS('Lleoliadau Cyflwyno'!$N:$N,'Lleoliadau Cyflwyno'!$E:$E,"Adloniant Theatr",'Lleoliadau Cyflwyno'!$D:$D,"Proffesiynol",'Lleoliadau Cyflwyno'!$J:$J,"Ie")</f>
        <v>0</v>
      </c>
      <c r="D1110" s="102">
        <f t="shared" si="635"/>
        <v>1</v>
      </c>
      <c r="E1110" s="14"/>
      <c r="F1110" s="14"/>
      <c r="G1110" s="14"/>
      <c r="H1110" s="14"/>
      <c r="I1110" s="14"/>
      <c r="J1110" s="14"/>
      <c r="K1110" s="100"/>
      <c r="L1110" s="102">
        <f t="shared" si="628"/>
        <v>1</v>
      </c>
      <c r="M1110" s="102" t="str">
        <f t="shared" ref="M1110" si="658">IF(C1109&lt;=C1110,"ok","wrong")</f>
        <v>ok</v>
      </c>
    </row>
    <row r="1111" spans="1:13" ht="15">
      <c r="A1111" s="128"/>
      <c r="B1111" s="130" t="s">
        <v>812</v>
      </c>
      <c r="C1111" s="129">
        <f>COUNTIFS('Lleoliadau Cyflwyno'!$E:$E,"Adloniant Theatr",'Lleoliadau Cyflwyno'!$D:$D,"Proffesiynol",'Lleoliadau Cyflwyno'!$K:$K,"Ie")</f>
        <v>0</v>
      </c>
      <c r="D1111" s="102">
        <f t="shared" si="635"/>
        <v>1</v>
      </c>
      <c r="E1111" s="14"/>
      <c r="F1111" s="14"/>
      <c r="G1111" s="14"/>
      <c r="H1111" s="14"/>
      <c r="I1111" s="14"/>
      <c r="J1111" s="14"/>
      <c r="K1111" s="100"/>
      <c r="L1111" s="102">
        <f t="shared" si="628"/>
        <v>1</v>
      </c>
      <c r="M1111" s="102" t="str">
        <f t="shared" ref="M1111:M1112" si="659">IF(AND(C1111&gt;=0.1,SUM(C1112)&gt;=C1111),"ok",IF(AND(C1111=0,SUM(C1112)=0),"ok",IF(AND(C1111&gt;0.1,SUM(C1112)=0),"wrong",IF(AND(C1111=0,SUM(C1112)&gt;0.1),"wrong"))))</f>
        <v>ok</v>
      </c>
    </row>
    <row r="1112" spans="1:13" ht="29">
      <c r="A1112" s="128"/>
      <c r="B1112" s="131" t="s">
        <v>813</v>
      </c>
      <c r="C1112" s="129">
        <f>SUMIFS('Lleoliadau Cyflwyno'!$M:$M,'Lleoliadau Cyflwyno'!$E:$E,"Adloniant Theatr",'Lleoliadau Cyflwyno'!$D:$D,"Proffesiynol",'Lleoliadau Cyflwyno'!$K:$K,"Ie")</f>
        <v>0</v>
      </c>
      <c r="D1112" s="102">
        <f t="shared" si="635"/>
        <v>1</v>
      </c>
      <c r="E1112" s="14"/>
      <c r="F1112" s="14"/>
      <c r="G1112" s="14"/>
      <c r="H1112" s="14"/>
      <c r="I1112" s="14"/>
      <c r="J1112" s="14"/>
      <c r="K1112" s="100"/>
      <c r="L1112" s="102">
        <f t="shared" si="628"/>
        <v>1</v>
      </c>
      <c r="M1112" s="102" t="str">
        <f t="shared" si="659"/>
        <v>ok</v>
      </c>
    </row>
    <row r="1113" spans="1:13" ht="29">
      <c r="A1113" s="128"/>
      <c r="B1113" s="131" t="s">
        <v>814</v>
      </c>
      <c r="C1113" s="129">
        <f>SUMIFS('Lleoliadau Cyflwyno'!$N:$N,'Lleoliadau Cyflwyno'!$E:$E,"Adloniant Theatr",'Lleoliadau Cyflwyno'!$D:$D,"Proffesiynol",'Lleoliadau Cyflwyno'!$K:$K,"Ie")</f>
        <v>0</v>
      </c>
      <c r="D1113" s="102">
        <f t="shared" si="635"/>
        <v>1</v>
      </c>
      <c r="E1113" s="14"/>
      <c r="F1113" s="14"/>
      <c r="G1113" s="14"/>
      <c r="H1113" s="14"/>
      <c r="I1113" s="14"/>
      <c r="J1113" s="14"/>
      <c r="K1113" s="100"/>
      <c r="L1113" s="102">
        <f t="shared" si="628"/>
        <v>1</v>
      </c>
      <c r="M1113" s="102" t="str">
        <f t="shared" ref="M1113" si="660">IF(C1112&lt;=C1113,"ok","wrong")</f>
        <v>ok</v>
      </c>
    </row>
    <row r="1114" spans="1:13" ht="15">
      <c r="A1114" s="128"/>
      <c r="B1114" s="130" t="s">
        <v>815</v>
      </c>
      <c r="C1114" s="129">
        <f>COUNTIFS('Lleoliadau Cyflwyno'!$E:$E,"Adloniant Theatr",'Lleoliadau Cyflwyno'!$D:$D,"Amatur",'Lleoliadau Cyflwyno'!$F:$F,"Ie")</f>
        <v>0</v>
      </c>
      <c r="D1114" s="102">
        <f t="shared" si="635"/>
        <v>1</v>
      </c>
      <c r="E1114" s="14"/>
      <c r="F1114" s="14"/>
      <c r="G1114" s="14"/>
      <c r="H1114" s="14"/>
      <c r="I1114" s="14"/>
      <c r="J1114" s="14"/>
      <c r="K1114" s="100"/>
      <c r="L1114" s="102">
        <f t="shared" si="628"/>
        <v>1</v>
      </c>
      <c r="M1114" s="102" t="str">
        <f t="shared" ref="M1114:M1115" si="661">IF(AND(C1114&gt;=0.1,SUM(C1115)&gt;=C1114),"ok",IF(AND(C1114=0,SUM(C1115)=0),"ok",IF(AND(C1114&gt;0.1,SUM(C1115)=0),"wrong",IF(AND(C1114=0,SUM(C1115)&gt;0.1),"wrong"))))</f>
        <v>ok</v>
      </c>
    </row>
    <row r="1115" spans="1:13">
      <c r="A1115" s="128"/>
      <c r="B1115" s="131" t="s">
        <v>816</v>
      </c>
      <c r="C1115" s="129">
        <f>SUMIFS('Lleoliadau Cyflwyno'!$M:$M,'Lleoliadau Cyflwyno'!$E:$E,"Adloniant Theatr",'Lleoliadau Cyflwyno'!$D:$D,"Amatur",'Lleoliadau Cyflwyno'!$F:$F,"Ie")</f>
        <v>0</v>
      </c>
      <c r="D1115" s="102">
        <f t="shared" si="635"/>
        <v>1</v>
      </c>
      <c r="E1115" s="14"/>
      <c r="F1115" s="14"/>
      <c r="G1115" s="14"/>
      <c r="H1115" s="14"/>
      <c r="I1115" s="14"/>
      <c r="J1115" s="14"/>
      <c r="K1115" s="100"/>
      <c r="L1115" s="102">
        <f t="shared" si="628"/>
        <v>1</v>
      </c>
      <c r="M1115" s="102" t="str">
        <f t="shared" si="661"/>
        <v>ok</v>
      </c>
    </row>
    <row r="1116" spans="1:13">
      <c r="A1116" s="128"/>
      <c r="B1116" s="131" t="s">
        <v>817</v>
      </c>
      <c r="C1116" s="129">
        <f>SUMIFS('Lleoliadau Cyflwyno'!$N:$N,'Lleoliadau Cyflwyno'!$E:$E,"Adloniant Theatr",'Lleoliadau Cyflwyno'!$D:$D,"Amatur",'Lleoliadau Cyflwyno'!$F:$F,"Ie")</f>
        <v>0</v>
      </c>
      <c r="D1116" s="102">
        <f t="shared" si="635"/>
        <v>1</v>
      </c>
      <c r="E1116" s="14"/>
      <c r="F1116" s="14"/>
      <c r="G1116" s="14"/>
      <c r="H1116" s="14"/>
      <c r="I1116" s="14"/>
      <c r="J1116" s="14"/>
      <c r="K1116" s="100"/>
      <c r="L1116" s="102">
        <f t="shared" si="628"/>
        <v>1</v>
      </c>
      <c r="M1116" s="102" t="str">
        <f t="shared" ref="M1116" si="662">IF(C1115&lt;=C1116,"ok","wrong")</f>
        <v>ok</v>
      </c>
    </row>
    <row r="1117" spans="1:13" ht="15">
      <c r="A1117" s="128"/>
      <c r="B1117" s="130" t="s">
        <v>818</v>
      </c>
      <c r="C1117" s="129">
        <f>COUNTIFS('Lleoliadau Cyflwyno'!$E:$E,"Adloniant Theatr",'Lleoliadau Cyflwyno'!$D:$D,"Amatur",'Lleoliadau Cyflwyno'!$G:$G,"Ie")</f>
        <v>0</v>
      </c>
      <c r="D1117" s="102">
        <f t="shared" si="635"/>
        <v>1</v>
      </c>
      <c r="E1117" s="14"/>
      <c r="F1117" s="14"/>
      <c r="G1117" s="14"/>
      <c r="H1117" s="14"/>
      <c r="I1117" s="14"/>
      <c r="J1117" s="14"/>
      <c r="K1117" s="100"/>
      <c r="L1117" s="102">
        <f t="shared" si="628"/>
        <v>1</v>
      </c>
      <c r="M1117" s="102" t="str">
        <f t="shared" ref="M1117:M1118" si="663">IF(AND(C1117&gt;=0.1,SUM(C1118)&gt;=C1117),"ok",IF(AND(C1117=0,SUM(C1118)=0),"ok",IF(AND(C1117&gt;0.1,SUM(C1118)=0),"wrong",IF(AND(C1117=0,SUM(C1118)&gt;0.1),"wrong"))))</f>
        <v>ok</v>
      </c>
    </row>
    <row r="1118" spans="1:13">
      <c r="A1118" s="128"/>
      <c r="B1118" s="131" t="s">
        <v>819</v>
      </c>
      <c r="C1118" s="129">
        <f>SUMIFS('Lleoliadau Cyflwyno'!$M:$M,'Lleoliadau Cyflwyno'!$E:$E,"Adloniant Theatr",'Lleoliadau Cyflwyno'!$D:$D,"Amatur",'Lleoliadau Cyflwyno'!$G:$G,"Ie")</f>
        <v>0</v>
      </c>
      <c r="D1118" s="102">
        <f t="shared" si="635"/>
        <v>1</v>
      </c>
      <c r="E1118" s="14"/>
      <c r="F1118" s="14"/>
      <c r="G1118" s="14"/>
      <c r="H1118" s="14"/>
      <c r="I1118" s="14"/>
      <c r="J1118" s="14"/>
      <c r="K1118" s="100"/>
      <c r="L1118" s="102">
        <f t="shared" si="628"/>
        <v>1</v>
      </c>
      <c r="M1118" s="102" t="str">
        <f t="shared" si="663"/>
        <v>ok</v>
      </c>
    </row>
    <row r="1119" spans="1:13">
      <c r="A1119" s="128"/>
      <c r="B1119" s="131" t="s">
        <v>820</v>
      </c>
      <c r="C1119" s="129">
        <f>SUMIFS('Lleoliadau Cyflwyno'!$N:$N,'Lleoliadau Cyflwyno'!$E:$E,"Adloniant Theatr",'Lleoliadau Cyflwyno'!$D:$D,"Amatur",'Lleoliadau Cyflwyno'!$G:$G,"Ie")</f>
        <v>0</v>
      </c>
      <c r="D1119" s="102">
        <f t="shared" si="635"/>
        <v>1</v>
      </c>
      <c r="E1119" s="14"/>
      <c r="F1119" s="14"/>
      <c r="G1119" s="14"/>
      <c r="H1119" s="14"/>
      <c r="I1119" s="14"/>
      <c r="J1119" s="14"/>
      <c r="K1119" s="100"/>
      <c r="L1119" s="102">
        <f t="shared" si="628"/>
        <v>1</v>
      </c>
      <c r="M1119" s="102" t="str">
        <f t="shared" ref="M1119" si="664">IF(C1118&lt;=C1119,"ok","wrong")</f>
        <v>ok</v>
      </c>
    </row>
    <row r="1120" spans="1:13" ht="15">
      <c r="A1120" s="128"/>
      <c r="B1120" s="130" t="s">
        <v>821</v>
      </c>
      <c r="C1120" s="129">
        <f>COUNTIFS('Lleoliadau Cyflwyno'!$E:$E,"Adloniant Theatr",'Lleoliadau Cyflwyno'!$D:$D,"Amatur",'Lleoliadau Cyflwyno'!$H:$H,"Ie")</f>
        <v>0</v>
      </c>
      <c r="D1120" s="102">
        <f t="shared" si="635"/>
        <v>1</v>
      </c>
      <c r="E1120" s="14"/>
      <c r="F1120" s="14"/>
      <c r="G1120" s="14"/>
      <c r="H1120" s="14"/>
      <c r="I1120" s="14"/>
      <c r="J1120" s="14"/>
      <c r="K1120" s="100"/>
      <c r="L1120" s="102">
        <f t="shared" si="628"/>
        <v>1</v>
      </c>
      <c r="M1120" s="102" t="str">
        <f t="shared" ref="M1120:M1121" si="665">IF(AND(C1120&gt;=0.1,SUM(C1121)&gt;=C1120),"ok",IF(AND(C1120=0,SUM(C1121)=0),"ok",IF(AND(C1120&gt;0.1,SUM(C1121)=0),"wrong",IF(AND(C1120=0,SUM(C1121)&gt;0.1),"wrong"))))</f>
        <v>ok</v>
      </c>
    </row>
    <row r="1121" spans="1:13">
      <c r="A1121" s="128"/>
      <c r="B1121" s="131" t="s">
        <v>822</v>
      </c>
      <c r="C1121" s="129">
        <f>SUMIFS('Lleoliadau Cyflwyno'!$M:$M,'Lleoliadau Cyflwyno'!$E:$E,"Adloniant Theatr",'Lleoliadau Cyflwyno'!$D:$D,"Amatur",'Lleoliadau Cyflwyno'!$H:$H,"Ie")</f>
        <v>0</v>
      </c>
      <c r="D1121" s="102">
        <f t="shared" si="635"/>
        <v>1</v>
      </c>
      <c r="E1121" s="14"/>
      <c r="F1121" s="14"/>
      <c r="G1121" s="14"/>
      <c r="H1121" s="14"/>
      <c r="I1121" s="14"/>
      <c r="J1121" s="14"/>
      <c r="K1121" s="100"/>
      <c r="L1121" s="102">
        <f t="shared" si="628"/>
        <v>1</v>
      </c>
      <c r="M1121" s="102" t="str">
        <f t="shared" si="665"/>
        <v>ok</v>
      </c>
    </row>
    <row r="1122" spans="1:13">
      <c r="A1122" s="128"/>
      <c r="B1122" s="131" t="s">
        <v>823</v>
      </c>
      <c r="C1122" s="129">
        <f>SUMIFS('Lleoliadau Cyflwyno'!$N:$N,'Lleoliadau Cyflwyno'!$E:$E,"Adloniant Theatr",'Lleoliadau Cyflwyno'!$D:$D,"Amatur",'Lleoliadau Cyflwyno'!$H:$H,"Ie")</f>
        <v>0</v>
      </c>
      <c r="D1122" s="102">
        <f t="shared" si="635"/>
        <v>1</v>
      </c>
      <c r="E1122" s="14"/>
      <c r="F1122" s="14"/>
      <c r="G1122" s="14"/>
      <c r="H1122" s="14"/>
      <c r="I1122" s="14"/>
      <c r="J1122" s="14"/>
      <c r="K1122" s="100"/>
      <c r="L1122" s="102">
        <f t="shared" si="628"/>
        <v>1</v>
      </c>
      <c r="M1122" s="102" t="str">
        <f t="shared" ref="M1122" si="666">IF(C1121&lt;=C1122,"ok","wrong")</f>
        <v>ok</v>
      </c>
    </row>
    <row r="1123" spans="1:13" ht="15">
      <c r="A1123" s="128"/>
      <c r="B1123" s="130" t="s">
        <v>824</v>
      </c>
      <c r="C1123" s="129">
        <f>COUNTIFS('Lleoliadau Cyflwyno'!$E:$E,"Adloniant Theatr",'Lleoliadau Cyflwyno'!$D:$D,"Amatur",'Lleoliadau Cyflwyno'!$I:$I,"Ie")</f>
        <v>0</v>
      </c>
      <c r="D1123" s="102">
        <f t="shared" si="635"/>
        <v>1</v>
      </c>
      <c r="E1123" s="14"/>
      <c r="F1123" s="14"/>
      <c r="G1123" s="14"/>
      <c r="H1123" s="14"/>
      <c r="I1123" s="14"/>
      <c r="J1123" s="14"/>
      <c r="K1123" s="100"/>
      <c r="L1123" s="102">
        <f t="shared" si="628"/>
        <v>1</v>
      </c>
      <c r="M1123" s="102" t="str">
        <f t="shared" ref="M1123:M1124" si="667">IF(AND(C1123&gt;=0.1,SUM(C1124)&gt;=C1123),"ok",IF(AND(C1123=0,SUM(C1124)=0),"ok",IF(AND(C1123&gt;0.1,SUM(C1124)=0),"wrong",IF(AND(C1123=0,SUM(C1124)&gt;0.1),"wrong"))))</f>
        <v>ok</v>
      </c>
    </row>
    <row r="1124" spans="1:13">
      <c r="A1124" s="128"/>
      <c r="B1124" s="131" t="s">
        <v>825</v>
      </c>
      <c r="C1124" s="129">
        <f>SUMIFS('Lleoliadau Cyflwyno'!$M:$M,'Lleoliadau Cyflwyno'!$E:$E,"Adloniant Theatr",'Lleoliadau Cyflwyno'!$D:$D,"Amatur",'Lleoliadau Cyflwyno'!$I:$I,"Ie")</f>
        <v>0</v>
      </c>
      <c r="D1124" s="102">
        <f t="shared" si="635"/>
        <v>1</v>
      </c>
      <c r="E1124" s="14"/>
      <c r="F1124" s="14"/>
      <c r="G1124" s="14"/>
      <c r="H1124" s="14"/>
      <c r="I1124" s="14"/>
      <c r="J1124" s="14"/>
      <c r="K1124" s="100"/>
      <c r="L1124" s="102">
        <f t="shared" si="628"/>
        <v>1</v>
      </c>
      <c r="M1124" s="102" t="str">
        <f t="shared" si="667"/>
        <v>ok</v>
      </c>
    </row>
    <row r="1125" spans="1:13">
      <c r="A1125" s="128"/>
      <c r="B1125" s="131" t="s">
        <v>826</v>
      </c>
      <c r="C1125" s="129">
        <f>SUMIFS('Lleoliadau Cyflwyno'!$N:$N,'Lleoliadau Cyflwyno'!$E:$E,"Adloniant Theatr",'Lleoliadau Cyflwyno'!$D:$D,"Amatur",'Lleoliadau Cyflwyno'!$I:$I,"Ie")</f>
        <v>0</v>
      </c>
      <c r="D1125" s="102">
        <f t="shared" si="635"/>
        <v>1</v>
      </c>
      <c r="E1125" s="14"/>
      <c r="F1125" s="14"/>
      <c r="G1125" s="14"/>
      <c r="H1125" s="14"/>
      <c r="I1125" s="14"/>
      <c r="J1125" s="14"/>
      <c r="K1125" s="100"/>
      <c r="L1125" s="102">
        <f t="shared" si="628"/>
        <v>1</v>
      </c>
      <c r="M1125" s="102" t="str">
        <f t="shared" ref="M1125" si="668">IF(C1124&lt;=C1125,"ok","wrong")</f>
        <v>ok</v>
      </c>
    </row>
    <row r="1126" spans="1:13" ht="15">
      <c r="A1126" s="128"/>
      <c r="B1126" s="130" t="s">
        <v>827</v>
      </c>
      <c r="C1126" s="129">
        <f>COUNTIFS('Lleoliadau Cyflwyno'!$E:$E,"Adloniant Theatr",'Lleoliadau Cyflwyno'!$D:$D,"Amatur",'Lleoliadau Cyflwyno'!$J:$J,"Ie")</f>
        <v>0</v>
      </c>
      <c r="D1126" s="102">
        <f t="shared" si="635"/>
        <v>1</v>
      </c>
      <c r="E1126" s="14"/>
      <c r="F1126" s="14"/>
      <c r="G1126" s="14"/>
      <c r="H1126" s="14"/>
      <c r="I1126" s="14"/>
      <c r="J1126" s="14"/>
      <c r="K1126" s="100"/>
      <c r="L1126" s="102">
        <f t="shared" si="628"/>
        <v>1</v>
      </c>
      <c r="M1126" s="102" t="str">
        <f t="shared" ref="M1126:M1127" si="669">IF(AND(C1126&gt;=0.1,SUM(C1127)&gt;=C1126),"ok",IF(AND(C1126=0,SUM(C1127)=0),"ok",IF(AND(C1126&gt;0.1,SUM(C1127)=0),"wrong",IF(AND(C1126=0,SUM(C1127)&gt;0.1),"wrong"))))</f>
        <v>ok</v>
      </c>
    </row>
    <row r="1127" spans="1:13">
      <c r="A1127" s="128"/>
      <c r="B1127" s="131" t="s">
        <v>828</v>
      </c>
      <c r="C1127" s="129">
        <f>SUMIFS('Lleoliadau Cyflwyno'!$M:$M,'Lleoliadau Cyflwyno'!$E:$E,"Adloniant Theatr",'Lleoliadau Cyflwyno'!$D:$D,"Amatur",'Lleoliadau Cyflwyno'!$J:$J,"Ie")</f>
        <v>0</v>
      </c>
      <c r="D1127" s="102">
        <f t="shared" si="635"/>
        <v>1</v>
      </c>
      <c r="E1127" s="14"/>
      <c r="F1127" s="14"/>
      <c r="G1127" s="14"/>
      <c r="H1127" s="14"/>
      <c r="I1127" s="14"/>
      <c r="J1127" s="14"/>
      <c r="K1127" s="100"/>
      <c r="L1127" s="102">
        <f t="shared" si="628"/>
        <v>1</v>
      </c>
      <c r="M1127" s="102" t="str">
        <f t="shared" si="669"/>
        <v>ok</v>
      </c>
    </row>
    <row r="1128" spans="1:13">
      <c r="A1128" s="128"/>
      <c r="B1128" s="131" t="s">
        <v>829</v>
      </c>
      <c r="C1128" s="129">
        <f>SUMIFS('Lleoliadau Cyflwyno'!$N:$N,'Lleoliadau Cyflwyno'!$E:$E,"Adloniant Theatr",'Lleoliadau Cyflwyno'!$D:$D,"Amatur",'Lleoliadau Cyflwyno'!$J:$J,"Ie")</f>
        <v>0</v>
      </c>
      <c r="D1128" s="102">
        <f t="shared" si="635"/>
        <v>1</v>
      </c>
      <c r="E1128" s="14"/>
      <c r="F1128" s="14"/>
      <c r="G1128" s="14"/>
      <c r="H1128" s="14"/>
      <c r="I1128" s="14"/>
      <c r="J1128" s="14"/>
      <c r="K1128" s="100"/>
      <c r="L1128" s="102">
        <f t="shared" si="628"/>
        <v>1</v>
      </c>
      <c r="M1128" s="102" t="str">
        <f t="shared" ref="M1128" si="670">IF(C1127&lt;=C1128,"ok","wrong")</f>
        <v>ok</v>
      </c>
    </row>
    <row r="1129" spans="1:13" ht="15">
      <c r="A1129" s="128"/>
      <c r="B1129" s="130" t="s">
        <v>830</v>
      </c>
      <c r="C1129" s="129">
        <f>COUNTIFS('Lleoliadau Cyflwyno'!$E:$E,"Adloniant Theatr",'Lleoliadau Cyflwyno'!$D:$D,"Amatur",'Lleoliadau Cyflwyno'!$K:$K,"Ie")</f>
        <v>0</v>
      </c>
      <c r="D1129" s="102">
        <f t="shared" si="635"/>
        <v>1</v>
      </c>
      <c r="E1129" s="14"/>
      <c r="F1129" s="14"/>
      <c r="G1129" s="14"/>
      <c r="H1129" s="14"/>
      <c r="I1129" s="14"/>
      <c r="J1129" s="14"/>
      <c r="K1129" s="100"/>
      <c r="L1129" s="102">
        <f t="shared" si="628"/>
        <v>1</v>
      </c>
      <c r="M1129" s="102" t="str">
        <f t="shared" ref="M1129:M1130" si="671">IF(AND(C1129&gt;=0.1,SUM(C1130)&gt;=C1129),"ok",IF(AND(C1129=0,SUM(C1130)=0),"ok",IF(AND(C1129&gt;0.1,SUM(C1130)=0),"wrong",IF(AND(C1129=0,SUM(C1130)&gt;0.1),"wrong"))))</f>
        <v>ok</v>
      </c>
    </row>
    <row r="1130" spans="1:13" ht="29">
      <c r="A1130" s="128"/>
      <c r="B1130" s="131" t="s">
        <v>831</v>
      </c>
      <c r="C1130" s="129">
        <f>SUMIFS('Lleoliadau Cyflwyno'!$M:$M,'Lleoliadau Cyflwyno'!$E:$E,"Adloniant Theatr",'Lleoliadau Cyflwyno'!$D:$D,"Amatur",'Lleoliadau Cyflwyno'!$K:$K,"Ie")</f>
        <v>0</v>
      </c>
      <c r="D1130" s="102">
        <f t="shared" si="635"/>
        <v>1</v>
      </c>
      <c r="E1130" s="14"/>
      <c r="F1130" s="14"/>
      <c r="G1130" s="14"/>
      <c r="H1130" s="14"/>
      <c r="I1130" s="14"/>
      <c r="J1130" s="14"/>
      <c r="K1130" s="100"/>
      <c r="L1130" s="102">
        <f t="shared" si="628"/>
        <v>1</v>
      </c>
      <c r="M1130" s="102" t="str">
        <f t="shared" si="671"/>
        <v>ok</v>
      </c>
    </row>
    <row r="1131" spans="1:13" ht="29">
      <c r="A1131" s="128"/>
      <c r="B1131" s="131" t="s">
        <v>832</v>
      </c>
      <c r="C1131" s="129">
        <f>SUMIFS('Lleoliadau Cyflwyno'!$N:$N,'Lleoliadau Cyflwyno'!$E:$E,"Adloniant Theatr",'Lleoliadau Cyflwyno'!$D:$D,"Amatur",'Lleoliadau Cyflwyno'!$K:$K,"Ie")</f>
        <v>0</v>
      </c>
      <c r="D1131" s="102">
        <f t="shared" si="635"/>
        <v>1</v>
      </c>
      <c r="E1131" s="14"/>
      <c r="F1131" s="14"/>
      <c r="G1131" s="14"/>
      <c r="H1131" s="14"/>
      <c r="I1131" s="14"/>
      <c r="J1131" s="14"/>
      <c r="K1131" s="100"/>
      <c r="L1131" s="102">
        <f t="shared" si="628"/>
        <v>1</v>
      </c>
      <c r="M1131" s="102" t="str">
        <f t="shared" ref="M1131" si="672">IF(C1130&lt;=C1131,"ok","wrong")</f>
        <v>ok</v>
      </c>
    </row>
    <row r="1132" spans="1:13" ht="15">
      <c r="A1132" s="128" t="s">
        <v>837</v>
      </c>
      <c r="B1132" s="130" t="s">
        <v>797</v>
      </c>
      <c r="C1132" s="129">
        <f>COUNTIFS('Lleoliadau Cyflwyno'!$E:$E,"Llenyddiaeth",'Lleoliadau Cyflwyno'!$D:$D,"Proffesiynol",'Lleoliadau Cyflwyno'!$F:$F,"Ie")</f>
        <v>0</v>
      </c>
      <c r="D1132" s="102">
        <f t="shared" si="635"/>
        <v>1</v>
      </c>
      <c r="E1132" s="14"/>
      <c r="F1132" s="14"/>
      <c r="G1132" s="14"/>
      <c r="H1132" s="14"/>
      <c r="I1132" s="14"/>
      <c r="J1132" s="14"/>
      <c r="K1132" s="100"/>
      <c r="L1132" s="102">
        <f t="shared" ref="L1132:L1195" si="673">IF(M1132="ok",1,0)</f>
        <v>1</v>
      </c>
      <c r="M1132" s="102" t="str">
        <f t="shared" ref="M1132:M1133" si="674">IF(AND(C1132&gt;=0.1,SUM(C1133)&gt;=C1132),"ok",IF(AND(C1132=0,SUM(C1133)=0),"ok",IF(AND(C1132&gt;0.1,SUM(C1133)=0),"wrong",IF(AND(C1132=0,SUM(C1133)&gt;0.1),"wrong"))))</f>
        <v>ok</v>
      </c>
    </row>
    <row r="1133" spans="1:13">
      <c r="A1133" s="128"/>
      <c r="B1133" s="131" t="s">
        <v>798</v>
      </c>
      <c r="C1133" s="129">
        <f>SUMIFS('Lleoliadau Cyflwyno'!$M:$M,'Lleoliadau Cyflwyno'!$E:$E,"Llenyddiaeth",'Lleoliadau Cyflwyno'!$D:$D,"Proffesiynol",'Lleoliadau Cyflwyno'!$F:$F,"Ie")</f>
        <v>0</v>
      </c>
      <c r="D1133" s="102">
        <f t="shared" si="635"/>
        <v>1</v>
      </c>
      <c r="E1133" s="14"/>
      <c r="F1133" s="14"/>
      <c r="G1133" s="14"/>
      <c r="H1133" s="14"/>
      <c r="I1133" s="14"/>
      <c r="J1133" s="14"/>
      <c r="K1133" s="100"/>
      <c r="L1133" s="102">
        <f t="shared" si="673"/>
        <v>1</v>
      </c>
      <c r="M1133" s="102" t="str">
        <f t="shared" si="674"/>
        <v>ok</v>
      </c>
    </row>
    <row r="1134" spans="1:13">
      <c r="A1134" s="128"/>
      <c r="B1134" s="131" t="s">
        <v>799</v>
      </c>
      <c r="C1134" s="129">
        <f>SUMIFS('Lleoliadau Cyflwyno'!$N:$N,'Lleoliadau Cyflwyno'!$E:$E,"Llenyddiaeth",'Lleoliadau Cyflwyno'!$D:$D,"Proffesiynol",'Lleoliadau Cyflwyno'!$F:$F,"Ie")</f>
        <v>0</v>
      </c>
      <c r="D1134" s="102">
        <f t="shared" si="635"/>
        <v>1</v>
      </c>
      <c r="E1134" s="14"/>
      <c r="F1134" s="14"/>
      <c r="G1134" s="14"/>
      <c r="H1134" s="14"/>
      <c r="I1134" s="14"/>
      <c r="J1134" s="14"/>
      <c r="K1134" s="100"/>
      <c r="L1134" s="102">
        <f t="shared" si="673"/>
        <v>1</v>
      </c>
      <c r="M1134" s="102" t="str">
        <f t="shared" ref="M1134" si="675">IF(C1133&lt;=C1134,"ok","wrong")</f>
        <v>ok</v>
      </c>
    </row>
    <row r="1135" spans="1:13" ht="15">
      <c r="A1135" s="128"/>
      <c r="B1135" s="130" t="s">
        <v>800</v>
      </c>
      <c r="C1135" s="129">
        <f>COUNTIFS('Lleoliadau Cyflwyno'!$E:$E,"Llenyddiaeth",'Lleoliadau Cyflwyno'!$D:$D,"Proffesiynol",'Lleoliadau Cyflwyno'!$G:$G,"Ie")</f>
        <v>0</v>
      </c>
      <c r="D1135" s="102">
        <f t="shared" si="635"/>
        <v>1</v>
      </c>
      <c r="E1135" s="14"/>
      <c r="F1135" s="14"/>
      <c r="G1135" s="14"/>
      <c r="H1135" s="14"/>
      <c r="I1135" s="14"/>
      <c r="J1135" s="14"/>
      <c r="K1135" s="100"/>
      <c r="L1135" s="102">
        <f t="shared" si="673"/>
        <v>1</v>
      </c>
      <c r="M1135" s="102" t="str">
        <f t="shared" ref="M1135:M1136" si="676">IF(AND(C1135&gt;=0.1,SUM(C1136)&gt;=C1135),"ok",IF(AND(C1135=0,SUM(C1136)=0),"ok",IF(AND(C1135&gt;0.1,SUM(C1136)=0),"wrong",IF(AND(C1135=0,SUM(C1136)&gt;0.1),"wrong"))))</f>
        <v>ok</v>
      </c>
    </row>
    <row r="1136" spans="1:13">
      <c r="A1136" s="128"/>
      <c r="B1136" s="131" t="s">
        <v>801</v>
      </c>
      <c r="C1136" s="129">
        <f>SUMIFS('Lleoliadau Cyflwyno'!$M:$M,'Lleoliadau Cyflwyno'!$E:$E,"Llenyddiaeth",'Lleoliadau Cyflwyno'!$D:$D,"Proffesiynol",'Lleoliadau Cyflwyno'!$G:$G,"Ie")</f>
        <v>0</v>
      </c>
      <c r="D1136" s="102">
        <f t="shared" si="635"/>
        <v>1</v>
      </c>
      <c r="E1136" s="14"/>
      <c r="F1136" s="14"/>
      <c r="G1136" s="14"/>
      <c r="H1136" s="14"/>
      <c r="I1136" s="14"/>
      <c r="J1136" s="14"/>
      <c r="K1136" s="100"/>
      <c r="L1136" s="102">
        <f t="shared" si="673"/>
        <v>1</v>
      </c>
      <c r="M1136" s="102" t="str">
        <f t="shared" si="676"/>
        <v>ok</v>
      </c>
    </row>
    <row r="1137" spans="1:13">
      <c r="A1137" s="128"/>
      <c r="B1137" s="131" t="s">
        <v>802</v>
      </c>
      <c r="C1137" s="129">
        <f>SUMIFS('Lleoliadau Cyflwyno'!$N:$N,'Lleoliadau Cyflwyno'!$E:$E,"Llenyddiaeth",'Lleoliadau Cyflwyno'!$D:$D,"Proffesiynol",'Lleoliadau Cyflwyno'!$G:$G,"Ie")</f>
        <v>0</v>
      </c>
      <c r="D1137" s="102">
        <f t="shared" si="635"/>
        <v>1</v>
      </c>
      <c r="E1137" s="14"/>
      <c r="F1137" s="14"/>
      <c r="G1137" s="14"/>
      <c r="H1137" s="14"/>
      <c r="I1137" s="14"/>
      <c r="J1137" s="14"/>
      <c r="K1137" s="100"/>
      <c r="L1137" s="102">
        <f t="shared" si="673"/>
        <v>1</v>
      </c>
      <c r="M1137" s="102" t="str">
        <f t="shared" ref="M1137" si="677">IF(C1136&lt;=C1137,"ok","wrong")</f>
        <v>ok</v>
      </c>
    </row>
    <row r="1138" spans="1:13" ht="15">
      <c r="A1138" s="128"/>
      <c r="B1138" s="130" t="s">
        <v>803</v>
      </c>
      <c r="C1138" s="129">
        <f>COUNTIFS('Lleoliadau Cyflwyno'!$E:$E,"Llenyddiaeth",'Lleoliadau Cyflwyno'!$D:$D,"Proffesiynol",'Lleoliadau Cyflwyno'!$H:$H,"Ie")</f>
        <v>0</v>
      </c>
      <c r="D1138" s="102">
        <f t="shared" si="635"/>
        <v>1</v>
      </c>
      <c r="E1138" s="14"/>
      <c r="F1138" s="14"/>
      <c r="G1138" s="14"/>
      <c r="H1138" s="14"/>
      <c r="I1138" s="14"/>
      <c r="J1138" s="14"/>
      <c r="K1138" s="100"/>
      <c r="L1138" s="102">
        <f t="shared" si="673"/>
        <v>1</v>
      </c>
      <c r="M1138" s="102" t="str">
        <f t="shared" ref="M1138:M1139" si="678">IF(AND(C1138&gt;=0.1,SUM(C1139)&gt;=C1138),"ok",IF(AND(C1138=0,SUM(C1139)=0),"ok",IF(AND(C1138&gt;0.1,SUM(C1139)=0),"wrong",IF(AND(C1138=0,SUM(C1139)&gt;0.1),"wrong"))))</f>
        <v>ok</v>
      </c>
    </row>
    <row r="1139" spans="1:13">
      <c r="A1139" s="128"/>
      <c r="B1139" s="131" t="s">
        <v>804</v>
      </c>
      <c r="C1139" s="129">
        <f>SUMIFS('Lleoliadau Cyflwyno'!$M:$M,'Lleoliadau Cyflwyno'!$E:$E,"Llenyddiaeth",'Lleoliadau Cyflwyno'!$F:$F,"Proffesiynol",'Lleoliadau Cyflwyno'!$H:$H,"Ie")</f>
        <v>0</v>
      </c>
      <c r="D1139" s="102">
        <f t="shared" si="635"/>
        <v>1</v>
      </c>
      <c r="E1139" s="14"/>
      <c r="F1139" s="14"/>
      <c r="G1139" s="14"/>
      <c r="H1139" s="14"/>
      <c r="I1139" s="14"/>
      <c r="J1139" s="14"/>
      <c r="K1139" s="100"/>
      <c r="L1139" s="102">
        <f t="shared" si="673"/>
        <v>1</v>
      </c>
      <c r="M1139" s="102" t="str">
        <f t="shared" si="678"/>
        <v>ok</v>
      </c>
    </row>
    <row r="1140" spans="1:13">
      <c r="A1140" s="128"/>
      <c r="B1140" s="131" t="s">
        <v>805</v>
      </c>
      <c r="C1140" s="129">
        <f>SUMIFS('Lleoliadau Cyflwyno'!$N:$N,'Lleoliadau Cyflwyno'!$E:$E,"Llenyddiaeth",'Lleoliadau Cyflwyno'!$D:$D,"Proffesiynol",'Lleoliadau Cyflwyno'!$H:$H,"Ie")</f>
        <v>0</v>
      </c>
      <c r="D1140" s="102">
        <f t="shared" ref="D1140:D1203" si="679">L1140</f>
        <v>1</v>
      </c>
      <c r="E1140" s="14"/>
      <c r="F1140" s="14"/>
      <c r="G1140" s="14"/>
      <c r="H1140" s="14"/>
      <c r="I1140" s="14"/>
      <c r="J1140" s="14"/>
      <c r="K1140" s="100"/>
      <c r="L1140" s="102">
        <f t="shared" si="673"/>
        <v>1</v>
      </c>
      <c r="M1140" s="102" t="str">
        <f t="shared" ref="M1140" si="680">IF(C1139&lt;=C1140,"ok","wrong")</f>
        <v>ok</v>
      </c>
    </row>
    <row r="1141" spans="1:13" ht="15">
      <c r="A1141" s="128"/>
      <c r="B1141" s="130" t="s">
        <v>806</v>
      </c>
      <c r="C1141" s="129">
        <f>COUNTIFS('Lleoliadau Cyflwyno'!$E:$E,"Llenyddiaeth",'Lleoliadau Cyflwyno'!$D:$D,"Proffesiynol",'Lleoliadau Cyflwyno'!$I:$I,"Ie")</f>
        <v>0</v>
      </c>
      <c r="D1141" s="102">
        <f t="shared" si="679"/>
        <v>1</v>
      </c>
      <c r="E1141" s="14"/>
      <c r="F1141" s="14"/>
      <c r="G1141" s="14"/>
      <c r="H1141" s="14"/>
      <c r="I1141" s="14"/>
      <c r="J1141" s="14"/>
      <c r="K1141" s="100"/>
      <c r="L1141" s="102">
        <f t="shared" si="673"/>
        <v>1</v>
      </c>
      <c r="M1141" s="102" t="str">
        <f t="shared" ref="M1141:M1142" si="681">IF(AND(C1141&gt;=0.1,SUM(C1142)&gt;=C1141),"ok",IF(AND(C1141=0,SUM(C1142)=0),"ok",IF(AND(C1141&gt;0.1,SUM(C1142)=0),"wrong",IF(AND(C1141=0,SUM(C1142)&gt;0.1),"wrong"))))</f>
        <v>ok</v>
      </c>
    </row>
    <row r="1142" spans="1:13">
      <c r="A1142" s="128"/>
      <c r="B1142" s="131" t="s">
        <v>807</v>
      </c>
      <c r="C1142" s="129">
        <f>SUMIFS('Lleoliadau Cyflwyno'!$M:$M,'Lleoliadau Cyflwyno'!$E:$E,"Llenyddiaeth",'Lleoliadau Cyflwyno'!$D:$D,"Proffesiynol",'Lleoliadau Cyflwyno'!$I:$I,"Ie")</f>
        <v>0</v>
      </c>
      <c r="D1142" s="102">
        <f t="shared" si="679"/>
        <v>1</v>
      </c>
      <c r="E1142" s="14"/>
      <c r="F1142" s="14"/>
      <c r="G1142" s="14"/>
      <c r="H1142" s="14"/>
      <c r="I1142" s="14"/>
      <c r="J1142" s="14"/>
      <c r="K1142" s="100"/>
      <c r="L1142" s="102">
        <f t="shared" si="673"/>
        <v>1</v>
      </c>
      <c r="M1142" s="102" t="str">
        <f t="shared" si="681"/>
        <v>ok</v>
      </c>
    </row>
    <row r="1143" spans="1:13" ht="29">
      <c r="A1143" s="128"/>
      <c r="B1143" s="131" t="s">
        <v>808</v>
      </c>
      <c r="C1143" s="129">
        <f>SUMIFS('Lleoliadau Cyflwyno'!$N:$N,'Lleoliadau Cyflwyno'!$E:$E,"Llenyddiaeth",'Lleoliadau Cyflwyno'!$D:$D,"Proffesiynol",'Lleoliadau Cyflwyno'!$I:$I,"Ie")</f>
        <v>0</v>
      </c>
      <c r="D1143" s="102">
        <f t="shared" si="679"/>
        <v>1</v>
      </c>
      <c r="E1143" s="14"/>
      <c r="F1143" s="14"/>
      <c r="G1143" s="14"/>
      <c r="H1143" s="14"/>
      <c r="I1143" s="14"/>
      <c r="J1143" s="14"/>
      <c r="K1143" s="100"/>
      <c r="L1143" s="102">
        <f t="shared" si="673"/>
        <v>1</v>
      </c>
      <c r="M1143" s="102" t="str">
        <f t="shared" ref="M1143" si="682">IF(C1142&lt;=C1143,"ok","wrong")</f>
        <v>ok</v>
      </c>
    </row>
    <row r="1144" spans="1:13" ht="15">
      <c r="A1144" s="128"/>
      <c r="B1144" s="130" t="s">
        <v>809</v>
      </c>
      <c r="C1144" s="129">
        <f>COUNTIFS('Lleoliadau Cyflwyno'!$E:$E,"Llenyddiaeth",'Lleoliadau Cyflwyno'!$D:$D,"Proffesiynol",'Lleoliadau Cyflwyno'!$J:$J,"Ie")</f>
        <v>0</v>
      </c>
      <c r="D1144" s="102">
        <f t="shared" si="679"/>
        <v>1</v>
      </c>
      <c r="E1144" s="14"/>
      <c r="F1144" s="14"/>
      <c r="G1144" s="14"/>
      <c r="H1144" s="14"/>
      <c r="I1144" s="14"/>
      <c r="J1144" s="14"/>
      <c r="K1144" s="100"/>
      <c r="L1144" s="102">
        <f t="shared" si="673"/>
        <v>1</v>
      </c>
      <c r="M1144" s="102" t="str">
        <f t="shared" ref="M1144:M1145" si="683">IF(AND(C1144&gt;=0.1,SUM(C1145)&gt;=C1144),"ok",IF(AND(C1144=0,SUM(C1145)=0),"ok",IF(AND(C1144&gt;0.1,SUM(C1145)=0),"wrong",IF(AND(C1144=0,SUM(C1145)&gt;0.1),"wrong"))))</f>
        <v>ok</v>
      </c>
    </row>
    <row r="1145" spans="1:13">
      <c r="A1145" s="128"/>
      <c r="B1145" s="131" t="s">
        <v>810</v>
      </c>
      <c r="C1145" s="129">
        <f>SUMIFS('Lleoliadau Cyflwyno'!$M:$M,'Lleoliadau Cyflwyno'!$E:$E,"Llenyddiaeth",'Lleoliadau Cyflwyno'!$D:$D,"Proffesiynol",'Lleoliadau Cyflwyno'!$J:$J,"Ie")</f>
        <v>0</v>
      </c>
      <c r="D1145" s="102">
        <f t="shared" si="679"/>
        <v>1</v>
      </c>
      <c r="E1145" s="14"/>
      <c r="F1145" s="14"/>
      <c r="G1145" s="14"/>
      <c r="H1145" s="14"/>
      <c r="I1145" s="14"/>
      <c r="J1145" s="14"/>
      <c r="K1145" s="100"/>
      <c r="L1145" s="102">
        <f t="shared" si="673"/>
        <v>1</v>
      </c>
      <c r="M1145" s="102" t="str">
        <f t="shared" si="683"/>
        <v>ok</v>
      </c>
    </row>
    <row r="1146" spans="1:13">
      <c r="A1146" s="128"/>
      <c r="B1146" s="131" t="s">
        <v>811</v>
      </c>
      <c r="C1146" s="129">
        <f>SUMIFS('Lleoliadau Cyflwyno'!$N:$N,'Lleoliadau Cyflwyno'!$E:$E,"Llenyddiaeth",'Lleoliadau Cyflwyno'!$D:$D,"Proffesiynol",'Lleoliadau Cyflwyno'!$J:$J,"Ie")</f>
        <v>0</v>
      </c>
      <c r="D1146" s="102">
        <f t="shared" si="679"/>
        <v>1</v>
      </c>
      <c r="E1146" s="14"/>
      <c r="F1146" s="14"/>
      <c r="G1146" s="14"/>
      <c r="H1146" s="14"/>
      <c r="I1146" s="14"/>
      <c r="J1146" s="14"/>
      <c r="K1146" s="100"/>
      <c r="L1146" s="102">
        <f t="shared" si="673"/>
        <v>1</v>
      </c>
      <c r="M1146" s="102" t="str">
        <f t="shared" ref="M1146" si="684">IF(C1145&lt;=C1146,"ok","wrong")</f>
        <v>ok</v>
      </c>
    </row>
    <row r="1147" spans="1:13" ht="15">
      <c r="A1147" s="128"/>
      <c r="B1147" s="130" t="s">
        <v>812</v>
      </c>
      <c r="C1147" s="129">
        <f>COUNTIFS('Lleoliadau Cyflwyno'!$E:$E,"Llenyddiaeth",'Lleoliadau Cyflwyno'!$D:$D,"Proffesiynol",'Lleoliadau Cyflwyno'!$K:$K,"Ie")</f>
        <v>0</v>
      </c>
      <c r="D1147" s="102">
        <f t="shared" si="679"/>
        <v>1</v>
      </c>
      <c r="E1147" s="14"/>
      <c r="F1147" s="14"/>
      <c r="G1147" s="14"/>
      <c r="H1147" s="14"/>
      <c r="I1147" s="14"/>
      <c r="J1147" s="14"/>
      <c r="K1147" s="100"/>
      <c r="L1147" s="102">
        <f t="shared" si="673"/>
        <v>1</v>
      </c>
      <c r="M1147" s="102" t="str">
        <f t="shared" ref="M1147:M1148" si="685">IF(AND(C1147&gt;=0.1,SUM(C1148)&gt;=C1147),"ok",IF(AND(C1147=0,SUM(C1148)=0),"ok",IF(AND(C1147&gt;0.1,SUM(C1148)=0),"wrong",IF(AND(C1147=0,SUM(C1148)&gt;0.1),"wrong"))))</f>
        <v>ok</v>
      </c>
    </row>
    <row r="1148" spans="1:13" ht="29">
      <c r="A1148" s="128"/>
      <c r="B1148" s="131" t="s">
        <v>813</v>
      </c>
      <c r="C1148" s="129">
        <f>SUMIFS('Lleoliadau Cyflwyno'!$M:$M,'Lleoliadau Cyflwyno'!$E:$E,"Llenyddiaeth",'Lleoliadau Cyflwyno'!$D:$D,"Proffesiynol",'Lleoliadau Cyflwyno'!$K:$K,"Ie")</f>
        <v>0</v>
      </c>
      <c r="D1148" s="102">
        <f t="shared" si="679"/>
        <v>1</v>
      </c>
      <c r="E1148" s="14"/>
      <c r="F1148" s="14"/>
      <c r="G1148" s="14"/>
      <c r="H1148" s="14"/>
      <c r="I1148" s="14"/>
      <c r="J1148" s="14"/>
      <c r="K1148" s="100"/>
      <c r="L1148" s="102">
        <f t="shared" si="673"/>
        <v>1</v>
      </c>
      <c r="M1148" s="102" t="str">
        <f t="shared" si="685"/>
        <v>ok</v>
      </c>
    </row>
    <row r="1149" spans="1:13" ht="29">
      <c r="A1149" s="128"/>
      <c r="B1149" s="131" t="s">
        <v>814</v>
      </c>
      <c r="C1149" s="129">
        <f>SUMIFS('Lleoliadau Cyflwyno'!$N:$N,'Lleoliadau Cyflwyno'!$E:$E,"Llenyddiaeth",'Lleoliadau Cyflwyno'!$D:$D,"Proffesiynol",'Lleoliadau Cyflwyno'!$K:$K,"Ie")</f>
        <v>0</v>
      </c>
      <c r="D1149" s="102">
        <f t="shared" si="679"/>
        <v>1</v>
      </c>
      <c r="E1149" s="14"/>
      <c r="F1149" s="14"/>
      <c r="G1149" s="14"/>
      <c r="H1149" s="14"/>
      <c r="I1149" s="14"/>
      <c r="J1149" s="14"/>
      <c r="K1149" s="100"/>
      <c r="L1149" s="102">
        <f t="shared" si="673"/>
        <v>1</v>
      </c>
      <c r="M1149" s="102" t="str">
        <f t="shared" ref="M1149" si="686">IF(C1148&lt;=C1149,"ok","wrong")</f>
        <v>ok</v>
      </c>
    </row>
    <row r="1150" spans="1:13" ht="15">
      <c r="A1150" s="128"/>
      <c r="B1150" s="130" t="s">
        <v>815</v>
      </c>
      <c r="C1150" s="129">
        <f>COUNTIFS('Lleoliadau Cyflwyno'!$E:$E,"Llenyddiaeth",'Lleoliadau Cyflwyno'!$D:$D,"Amatur",'Lleoliadau Cyflwyno'!$F:$F,"Ie")</f>
        <v>0</v>
      </c>
      <c r="D1150" s="102">
        <f t="shared" si="679"/>
        <v>1</v>
      </c>
      <c r="E1150" s="14"/>
      <c r="F1150" s="14"/>
      <c r="G1150" s="14"/>
      <c r="H1150" s="14"/>
      <c r="I1150" s="14"/>
      <c r="J1150" s="14"/>
      <c r="K1150" s="100"/>
      <c r="L1150" s="102">
        <f t="shared" si="673"/>
        <v>1</v>
      </c>
      <c r="M1150" s="102" t="str">
        <f t="shared" ref="M1150:M1151" si="687">IF(AND(C1150&gt;=0.1,SUM(C1151)&gt;=C1150),"ok",IF(AND(C1150=0,SUM(C1151)=0),"ok",IF(AND(C1150&gt;0.1,SUM(C1151)=0),"wrong",IF(AND(C1150=0,SUM(C1151)&gt;0.1),"wrong"))))</f>
        <v>ok</v>
      </c>
    </row>
    <row r="1151" spans="1:13">
      <c r="A1151" s="128"/>
      <c r="B1151" s="131" t="s">
        <v>816</v>
      </c>
      <c r="C1151" s="129">
        <f>SUMIFS('Lleoliadau Cyflwyno'!$M:$M,'Lleoliadau Cyflwyno'!$E:$E,"Llenyddiaeth",'Lleoliadau Cyflwyno'!$D:$D,"Amatur",'Lleoliadau Cyflwyno'!$F:$F,"Ie")</f>
        <v>0</v>
      </c>
      <c r="D1151" s="102">
        <f t="shared" si="679"/>
        <v>1</v>
      </c>
      <c r="E1151" s="14"/>
      <c r="F1151" s="14"/>
      <c r="G1151" s="14"/>
      <c r="H1151" s="14"/>
      <c r="I1151" s="14"/>
      <c r="J1151" s="14"/>
      <c r="K1151" s="100"/>
      <c r="L1151" s="102">
        <f t="shared" si="673"/>
        <v>1</v>
      </c>
      <c r="M1151" s="102" t="str">
        <f t="shared" si="687"/>
        <v>ok</v>
      </c>
    </row>
    <row r="1152" spans="1:13">
      <c r="A1152" s="128"/>
      <c r="B1152" s="131" t="s">
        <v>817</v>
      </c>
      <c r="C1152" s="129">
        <f>SUMIFS('Lleoliadau Cyflwyno'!$N:$N,'Lleoliadau Cyflwyno'!$E:$E,"Llenyddiaeth",'Lleoliadau Cyflwyno'!$D:$D,"Amatur",'Lleoliadau Cyflwyno'!$F:$F,"Ie")</f>
        <v>0</v>
      </c>
      <c r="D1152" s="102">
        <f t="shared" si="679"/>
        <v>1</v>
      </c>
      <c r="E1152" s="14"/>
      <c r="F1152" s="14"/>
      <c r="G1152" s="14"/>
      <c r="H1152" s="14"/>
      <c r="I1152" s="14"/>
      <c r="J1152" s="14"/>
      <c r="K1152" s="100"/>
      <c r="L1152" s="102">
        <f t="shared" si="673"/>
        <v>1</v>
      </c>
      <c r="M1152" s="102" t="str">
        <f t="shared" ref="M1152" si="688">IF(C1151&lt;=C1152,"ok","wrong")</f>
        <v>ok</v>
      </c>
    </row>
    <row r="1153" spans="1:13" ht="15">
      <c r="A1153" s="128"/>
      <c r="B1153" s="130" t="s">
        <v>818</v>
      </c>
      <c r="C1153" s="129">
        <f>COUNTIFS('Lleoliadau Cyflwyno'!$E:$E,"Llenyddiaeth",'Lleoliadau Cyflwyno'!$D:$D,"Amatur",'Lleoliadau Cyflwyno'!$G:$G,"Ie")</f>
        <v>0</v>
      </c>
      <c r="D1153" s="102">
        <f t="shared" si="679"/>
        <v>1</v>
      </c>
      <c r="E1153" s="14"/>
      <c r="F1153" s="14"/>
      <c r="G1153" s="14"/>
      <c r="H1153" s="14"/>
      <c r="I1153" s="14"/>
      <c r="J1153" s="14"/>
      <c r="K1153" s="100"/>
      <c r="L1153" s="102">
        <f t="shared" si="673"/>
        <v>1</v>
      </c>
      <c r="M1153" s="102" t="str">
        <f t="shared" ref="M1153:M1154" si="689">IF(AND(C1153&gt;=0.1,SUM(C1154)&gt;=C1153),"ok",IF(AND(C1153=0,SUM(C1154)=0),"ok",IF(AND(C1153&gt;0.1,SUM(C1154)=0),"wrong",IF(AND(C1153=0,SUM(C1154)&gt;0.1),"wrong"))))</f>
        <v>ok</v>
      </c>
    </row>
    <row r="1154" spans="1:13">
      <c r="A1154" s="128"/>
      <c r="B1154" s="131" t="s">
        <v>819</v>
      </c>
      <c r="C1154" s="129">
        <f>SUMIFS('Lleoliadau Cyflwyno'!$M:$M,'Lleoliadau Cyflwyno'!$E:$E,"Llenyddiaeth",'Lleoliadau Cyflwyno'!$D:$D,"Amatur",'Lleoliadau Cyflwyno'!$G:$G,"Ie")</f>
        <v>0</v>
      </c>
      <c r="D1154" s="102">
        <f t="shared" si="679"/>
        <v>1</v>
      </c>
      <c r="E1154" s="14"/>
      <c r="F1154" s="14"/>
      <c r="G1154" s="14"/>
      <c r="H1154" s="14"/>
      <c r="I1154" s="14"/>
      <c r="J1154" s="14"/>
      <c r="K1154" s="100"/>
      <c r="L1154" s="102">
        <f t="shared" si="673"/>
        <v>1</v>
      </c>
      <c r="M1154" s="102" t="str">
        <f t="shared" si="689"/>
        <v>ok</v>
      </c>
    </row>
    <row r="1155" spans="1:13">
      <c r="A1155" s="128"/>
      <c r="B1155" s="131" t="s">
        <v>820</v>
      </c>
      <c r="C1155" s="129">
        <f>SUMIFS('Lleoliadau Cyflwyno'!$N:$N,'Lleoliadau Cyflwyno'!$E:$E,"Llenyddiaeth",'Lleoliadau Cyflwyno'!$D:$D,"Amatur",'Lleoliadau Cyflwyno'!$G:$G,"Ie")</f>
        <v>0</v>
      </c>
      <c r="D1155" s="102">
        <f t="shared" si="679"/>
        <v>1</v>
      </c>
      <c r="E1155" s="14"/>
      <c r="F1155" s="14"/>
      <c r="G1155" s="14"/>
      <c r="H1155" s="14"/>
      <c r="I1155" s="14"/>
      <c r="J1155" s="14"/>
      <c r="K1155" s="100"/>
      <c r="L1155" s="102">
        <f t="shared" si="673"/>
        <v>1</v>
      </c>
      <c r="M1155" s="102" t="str">
        <f t="shared" ref="M1155" si="690">IF(C1154&lt;=C1155,"ok","wrong")</f>
        <v>ok</v>
      </c>
    </row>
    <row r="1156" spans="1:13" ht="15">
      <c r="A1156" s="128"/>
      <c r="B1156" s="130" t="s">
        <v>821</v>
      </c>
      <c r="C1156" s="129">
        <f>COUNTIFS('Lleoliadau Cyflwyno'!$E:$E,"Llenyddiaeth",'Lleoliadau Cyflwyno'!$D:$D,"Amatur",'Lleoliadau Cyflwyno'!$H:$H,"Ie")</f>
        <v>0</v>
      </c>
      <c r="D1156" s="102">
        <f t="shared" si="679"/>
        <v>1</v>
      </c>
      <c r="E1156" s="14"/>
      <c r="F1156" s="14"/>
      <c r="G1156" s="14"/>
      <c r="H1156" s="14"/>
      <c r="I1156" s="14"/>
      <c r="J1156" s="14"/>
      <c r="K1156" s="100"/>
      <c r="L1156" s="102">
        <f t="shared" si="673"/>
        <v>1</v>
      </c>
      <c r="M1156" s="102" t="str">
        <f t="shared" ref="M1156:M1157" si="691">IF(AND(C1156&gt;=0.1,SUM(C1157)&gt;=C1156),"ok",IF(AND(C1156=0,SUM(C1157)=0),"ok",IF(AND(C1156&gt;0.1,SUM(C1157)=0),"wrong",IF(AND(C1156=0,SUM(C1157)&gt;0.1),"wrong"))))</f>
        <v>ok</v>
      </c>
    </row>
    <row r="1157" spans="1:13">
      <c r="A1157" s="128"/>
      <c r="B1157" s="131" t="s">
        <v>822</v>
      </c>
      <c r="C1157" s="129">
        <f>SUMIFS('Lleoliadau Cyflwyno'!$M:$M,'Lleoliadau Cyflwyno'!$E:$E,"Llenyddiaeth",'Lleoliadau Cyflwyno'!$D:$D,"Amatur",'Lleoliadau Cyflwyno'!$H:$H,"Ie")</f>
        <v>0</v>
      </c>
      <c r="D1157" s="102">
        <f t="shared" si="679"/>
        <v>1</v>
      </c>
      <c r="E1157" s="14"/>
      <c r="F1157" s="14"/>
      <c r="G1157" s="14"/>
      <c r="H1157" s="14"/>
      <c r="I1157" s="14"/>
      <c r="J1157" s="14"/>
      <c r="K1157" s="100"/>
      <c r="L1157" s="102">
        <f t="shared" si="673"/>
        <v>1</v>
      </c>
      <c r="M1157" s="102" t="str">
        <f t="shared" si="691"/>
        <v>ok</v>
      </c>
    </row>
    <row r="1158" spans="1:13">
      <c r="A1158" s="128"/>
      <c r="B1158" s="131" t="s">
        <v>823</v>
      </c>
      <c r="C1158" s="129">
        <f>SUMIFS('Lleoliadau Cyflwyno'!$N:$N,'Lleoliadau Cyflwyno'!$E:$E,"Llenyddiaeth",'Lleoliadau Cyflwyno'!$D:$D,"Amatur",'Lleoliadau Cyflwyno'!$H:$H,"Ie")</f>
        <v>0</v>
      </c>
      <c r="D1158" s="102">
        <f t="shared" si="679"/>
        <v>1</v>
      </c>
      <c r="E1158" s="14"/>
      <c r="F1158" s="14"/>
      <c r="G1158" s="14"/>
      <c r="H1158" s="14"/>
      <c r="I1158" s="14"/>
      <c r="J1158" s="14"/>
      <c r="K1158" s="100"/>
      <c r="L1158" s="102">
        <f t="shared" si="673"/>
        <v>1</v>
      </c>
      <c r="M1158" s="102" t="str">
        <f t="shared" ref="M1158" si="692">IF(C1157&lt;=C1158,"ok","wrong")</f>
        <v>ok</v>
      </c>
    </row>
    <row r="1159" spans="1:13" ht="15">
      <c r="A1159" s="128"/>
      <c r="B1159" s="130" t="s">
        <v>824</v>
      </c>
      <c r="C1159" s="129">
        <f>COUNTIFS('Lleoliadau Cyflwyno'!$E:$E,"Llenyddiaeth",'Lleoliadau Cyflwyno'!$D:$D,"Amatur",'Lleoliadau Cyflwyno'!$I:$I,"Ie")</f>
        <v>0</v>
      </c>
      <c r="D1159" s="102">
        <f t="shared" si="679"/>
        <v>1</v>
      </c>
      <c r="E1159" s="14"/>
      <c r="F1159" s="14"/>
      <c r="G1159" s="14"/>
      <c r="H1159" s="14"/>
      <c r="I1159" s="14"/>
      <c r="J1159" s="14"/>
      <c r="K1159" s="100"/>
      <c r="L1159" s="102">
        <f t="shared" si="673"/>
        <v>1</v>
      </c>
      <c r="M1159" s="102" t="str">
        <f t="shared" ref="M1159:M1160" si="693">IF(AND(C1159&gt;=0.1,SUM(C1160)&gt;=C1159),"ok",IF(AND(C1159=0,SUM(C1160)=0),"ok",IF(AND(C1159&gt;0.1,SUM(C1160)=0),"wrong",IF(AND(C1159=0,SUM(C1160)&gt;0.1),"wrong"))))</f>
        <v>ok</v>
      </c>
    </row>
    <row r="1160" spans="1:13">
      <c r="A1160" s="128"/>
      <c r="B1160" s="131" t="s">
        <v>825</v>
      </c>
      <c r="C1160" s="129">
        <f>SUMIFS('Lleoliadau Cyflwyno'!$M:$M,'Lleoliadau Cyflwyno'!$E:$E,"Llenyddiaeth",'Lleoliadau Cyflwyno'!$D:$D,"Amatur",'Lleoliadau Cyflwyno'!$I:$I,"Ie")</f>
        <v>0</v>
      </c>
      <c r="D1160" s="102">
        <f t="shared" si="679"/>
        <v>1</v>
      </c>
      <c r="E1160" s="14"/>
      <c r="F1160" s="14"/>
      <c r="G1160" s="14"/>
      <c r="H1160" s="14"/>
      <c r="I1160" s="14"/>
      <c r="J1160" s="14"/>
      <c r="K1160" s="100"/>
      <c r="L1160" s="102">
        <f t="shared" si="673"/>
        <v>1</v>
      </c>
      <c r="M1160" s="102" t="str">
        <f t="shared" si="693"/>
        <v>ok</v>
      </c>
    </row>
    <row r="1161" spans="1:13">
      <c r="A1161" s="128"/>
      <c r="B1161" s="131" t="s">
        <v>826</v>
      </c>
      <c r="C1161" s="129">
        <f>SUMIFS('Lleoliadau Cyflwyno'!$N:$N,'Lleoliadau Cyflwyno'!$E:$E,"Llenyddiaeth",'Lleoliadau Cyflwyno'!$D:$D,"Amatur",'Lleoliadau Cyflwyno'!$I:$I,"Ie")</f>
        <v>0</v>
      </c>
      <c r="D1161" s="102">
        <f t="shared" si="679"/>
        <v>1</v>
      </c>
      <c r="E1161" s="14"/>
      <c r="F1161" s="14"/>
      <c r="G1161" s="14"/>
      <c r="H1161" s="14"/>
      <c r="I1161" s="14"/>
      <c r="J1161" s="14"/>
      <c r="K1161" s="100"/>
      <c r="L1161" s="102">
        <f t="shared" si="673"/>
        <v>1</v>
      </c>
      <c r="M1161" s="102" t="str">
        <f t="shared" ref="M1161" si="694">IF(C1160&lt;=C1161,"ok","wrong")</f>
        <v>ok</v>
      </c>
    </row>
    <row r="1162" spans="1:13" ht="15">
      <c r="A1162" s="128"/>
      <c r="B1162" s="130" t="s">
        <v>827</v>
      </c>
      <c r="C1162" s="129">
        <f>COUNTIFS('Lleoliadau Cyflwyno'!$E:$E,"Llenyddiaeth",'Lleoliadau Cyflwyno'!$D:$D,"Amatur",'Lleoliadau Cyflwyno'!$J:$J,"Ie")</f>
        <v>0</v>
      </c>
      <c r="D1162" s="102">
        <f t="shared" si="679"/>
        <v>1</v>
      </c>
      <c r="E1162" s="14"/>
      <c r="F1162" s="14"/>
      <c r="G1162" s="14"/>
      <c r="H1162" s="14"/>
      <c r="I1162" s="14"/>
      <c r="J1162" s="14"/>
      <c r="K1162" s="100"/>
      <c r="L1162" s="102">
        <f t="shared" si="673"/>
        <v>1</v>
      </c>
      <c r="M1162" s="102" t="str">
        <f t="shared" ref="M1162:M1163" si="695">IF(AND(C1162&gt;=0.1,SUM(C1163)&gt;=C1162),"ok",IF(AND(C1162=0,SUM(C1163)=0),"ok",IF(AND(C1162&gt;0.1,SUM(C1163)=0),"wrong",IF(AND(C1162=0,SUM(C1163)&gt;0.1),"wrong"))))</f>
        <v>ok</v>
      </c>
    </row>
    <row r="1163" spans="1:13">
      <c r="A1163" s="128"/>
      <c r="B1163" s="131" t="s">
        <v>828</v>
      </c>
      <c r="C1163" s="129">
        <f>SUMIFS('Lleoliadau Cyflwyno'!$M:$M,'Lleoliadau Cyflwyno'!$E:$E,"Llenyddiaeth",'Lleoliadau Cyflwyno'!$D:$D,"Amatur",'Lleoliadau Cyflwyno'!$J:$J,"Ie")</f>
        <v>0</v>
      </c>
      <c r="D1163" s="102">
        <f t="shared" si="679"/>
        <v>1</v>
      </c>
      <c r="E1163" s="14"/>
      <c r="F1163" s="14"/>
      <c r="G1163" s="14"/>
      <c r="H1163" s="14"/>
      <c r="I1163" s="14"/>
      <c r="J1163" s="14"/>
      <c r="K1163" s="100"/>
      <c r="L1163" s="102">
        <f t="shared" si="673"/>
        <v>1</v>
      </c>
      <c r="M1163" s="102" t="str">
        <f t="shared" si="695"/>
        <v>ok</v>
      </c>
    </row>
    <row r="1164" spans="1:13">
      <c r="A1164" s="128"/>
      <c r="B1164" s="131" t="s">
        <v>829</v>
      </c>
      <c r="C1164" s="129">
        <f>SUMIFS('Lleoliadau Cyflwyno'!$N:$N,'Lleoliadau Cyflwyno'!$E:$E,"Llenyddiaeth",'Lleoliadau Cyflwyno'!$D:$D,"Amatur",'Lleoliadau Cyflwyno'!$J:$J,"Ie")</f>
        <v>0</v>
      </c>
      <c r="D1164" s="102">
        <f t="shared" si="679"/>
        <v>1</v>
      </c>
      <c r="E1164" s="14"/>
      <c r="F1164" s="14"/>
      <c r="G1164" s="14"/>
      <c r="H1164" s="14"/>
      <c r="I1164" s="14"/>
      <c r="J1164" s="14"/>
      <c r="K1164" s="100"/>
      <c r="L1164" s="102">
        <f t="shared" si="673"/>
        <v>1</v>
      </c>
      <c r="M1164" s="102" t="str">
        <f t="shared" ref="M1164" si="696">IF(C1163&lt;=C1164,"ok","wrong")</f>
        <v>ok</v>
      </c>
    </row>
    <row r="1165" spans="1:13" ht="15">
      <c r="A1165" s="128"/>
      <c r="B1165" s="130" t="s">
        <v>830</v>
      </c>
      <c r="C1165" s="129">
        <f>COUNTIFS('Lleoliadau Cyflwyno'!$E:$E,"Llenyddiaeth",'Lleoliadau Cyflwyno'!$D:$D,"Amatur",'Lleoliadau Cyflwyno'!$K:$K,"Ie")</f>
        <v>0</v>
      </c>
      <c r="D1165" s="102">
        <f t="shared" si="679"/>
        <v>1</v>
      </c>
      <c r="E1165" s="14"/>
      <c r="F1165" s="14"/>
      <c r="G1165" s="14"/>
      <c r="H1165" s="14"/>
      <c r="I1165" s="14"/>
      <c r="J1165" s="14"/>
      <c r="K1165" s="100"/>
      <c r="L1165" s="102">
        <f t="shared" si="673"/>
        <v>1</v>
      </c>
      <c r="M1165" s="102" t="str">
        <f t="shared" ref="M1165:M1166" si="697">IF(AND(C1165&gt;=0.1,SUM(C1166)&gt;=C1165),"ok",IF(AND(C1165=0,SUM(C1166)=0),"ok",IF(AND(C1165&gt;0.1,SUM(C1166)=0),"wrong",IF(AND(C1165=0,SUM(C1166)&gt;0.1),"wrong"))))</f>
        <v>ok</v>
      </c>
    </row>
    <row r="1166" spans="1:13" ht="29">
      <c r="A1166" s="128"/>
      <c r="B1166" s="131" t="s">
        <v>831</v>
      </c>
      <c r="C1166" s="129">
        <f>SUMIFS('Lleoliadau Cyflwyno'!$M:$M,'Lleoliadau Cyflwyno'!$E:$E,"Llenyddiaeth",'Lleoliadau Cyflwyno'!$D:$D,"Amatur",'Lleoliadau Cyflwyno'!$K:$K,"Ie")</f>
        <v>0</v>
      </c>
      <c r="D1166" s="102">
        <f t="shared" si="679"/>
        <v>1</v>
      </c>
      <c r="E1166" s="14"/>
      <c r="F1166" s="14"/>
      <c r="G1166" s="14"/>
      <c r="H1166" s="14"/>
      <c r="I1166" s="14"/>
      <c r="J1166" s="14"/>
      <c r="K1166" s="100"/>
      <c r="L1166" s="102">
        <f t="shared" si="673"/>
        <v>1</v>
      </c>
      <c r="M1166" s="102" t="str">
        <f t="shared" si="697"/>
        <v>ok</v>
      </c>
    </row>
    <row r="1167" spans="1:13" ht="29">
      <c r="A1167" s="128"/>
      <c r="B1167" s="131" t="s">
        <v>832</v>
      </c>
      <c r="C1167" s="129">
        <f>SUMIFS('Lleoliadau Cyflwyno'!$N:$N,'Lleoliadau Cyflwyno'!$E:$E,"Llenyddiaeth",'Lleoliadau Cyflwyno'!$D:$D,"Amatur",'Lleoliadau Cyflwyno'!$K:$K,"Ie")</f>
        <v>0</v>
      </c>
      <c r="D1167" s="102">
        <f t="shared" si="679"/>
        <v>1</v>
      </c>
      <c r="E1167" s="14"/>
      <c r="F1167" s="14"/>
      <c r="G1167" s="14"/>
      <c r="H1167" s="14"/>
      <c r="I1167" s="14"/>
      <c r="J1167" s="14"/>
      <c r="K1167" s="100"/>
      <c r="L1167" s="102">
        <f t="shared" si="673"/>
        <v>1</v>
      </c>
      <c r="M1167" s="102" t="str">
        <f t="shared" ref="M1167" si="698">IF(C1166&lt;=C1167,"ok","wrong")</f>
        <v>ok</v>
      </c>
    </row>
    <row r="1168" spans="1:13" ht="15">
      <c r="A1168" s="128" t="s">
        <v>838</v>
      </c>
      <c r="B1168" s="130" t="s">
        <v>797</v>
      </c>
      <c r="C1168" s="129">
        <f>COUNTIFS('Lleoliadau Cyflwyno'!$E:$E,"Arall",'Lleoliadau Cyflwyno'!$D:$D,"Proffesiynol",'Lleoliadau Cyflwyno'!$F:$F,"Ie")</f>
        <v>0</v>
      </c>
      <c r="D1168" s="102">
        <f t="shared" si="679"/>
        <v>1</v>
      </c>
      <c r="E1168" s="14"/>
      <c r="F1168" s="14"/>
      <c r="G1168" s="14"/>
      <c r="H1168" s="14"/>
      <c r="I1168" s="14"/>
      <c r="J1168" s="14"/>
      <c r="K1168" s="100"/>
      <c r="L1168" s="102">
        <f t="shared" si="673"/>
        <v>1</v>
      </c>
      <c r="M1168" s="102" t="str">
        <f t="shared" ref="M1168:M1169" si="699">IF(AND(C1168&gt;=0.1,SUM(C1169)&gt;=C1168),"ok",IF(AND(C1168=0,SUM(C1169)=0),"ok",IF(AND(C1168&gt;0.1,SUM(C1169)=0),"wrong",IF(AND(C1168=0,SUM(C1169)&gt;0.1),"wrong"))))</f>
        <v>ok</v>
      </c>
    </row>
    <row r="1169" spans="1:13">
      <c r="A1169" s="128"/>
      <c r="B1169" s="131" t="s">
        <v>798</v>
      </c>
      <c r="C1169" s="129">
        <f>SUMIFS('Lleoliadau Cyflwyno'!$M:$M,'Lleoliadau Cyflwyno'!$E:$E,"Arall",'Lleoliadau Cyflwyno'!$D:$D,"Proffesiynol",'Lleoliadau Cyflwyno'!$F:$F,"Ie")</f>
        <v>0</v>
      </c>
      <c r="D1169" s="102">
        <f t="shared" si="679"/>
        <v>1</v>
      </c>
      <c r="E1169" s="14"/>
      <c r="F1169" s="14"/>
      <c r="G1169" s="14"/>
      <c r="H1169" s="14"/>
      <c r="I1169" s="14"/>
      <c r="J1169" s="14"/>
      <c r="K1169" s="100"/>
      <c r="L1169" s="102">
        <f t="shared" si="673"/>
        <v>1</v>
      </c>
      <c r="M1169" s="102" t="str">
        <f t="shared" si="699"/>
        <v>ok</v>
      </c>
    </row>
    <row r="1170" spans="1:13">
      <c r="A1170" s="128"/>
      <c r="B1170" s="131" t="s">
        <v>799</v>
      </c>
      <c r="C1170" s="129">
        <f>SUMIFS('Lleoliadau Cyflwyno'!$N:$N,'Lleoliadau Cyflwyno'!$E:$E,"Arall",'Lleoliadau Cyflwyno'!$D:$D,"Proffesiynol",'Lleoliadau Cyflwyno'!$F:$F,"Ie")</f>
        <v>0</v>
      </c>
      <c r="D1170" s="102">
        <f t="shared" si="679"/>
        <v>1</v>
      </c>
      <c r="E1170" s="14"/>
      <c r="F1170" s="14"/>
      <c r="G1170" s="14"/>
      <c r="H1170" s="14"/>
      <c r="I1170" s="14"/>
      <c r="J1170" s="14"/>
      <c r="K1170" s="100"/>
      <c r="L1170" s="102">
        <f t="shared" si="673"/>
        <v>1</v>
      </c>
      <c r="M1170" s="102" t="str">
        <f t="shared" ref="M1170" si="700">IF(C1169&lt;=C1170,"ok","wrong")</f>
        <v>ok</v>
      </c>
    </row>
    <row r="1171" spans="1:13" ht="15">
      <c r="A1171" s="128"/>
      <c r="B1171" s="130" t="s">
        <v>800</v>
      </c>
      <c r="C1171" s="129">
        <f>COUNTIFS('Lleoliadau Cyflwyno'!$E:$E,"Arall",'Lleoliadau Cyflwyno'!$D:$D,"Proffesiynol",'Lleoliadau Cyflwyno'!$G:$G,"Ie")</f>
        <v>0</v>
      </c>
      <c r="D1171" s="102">
        <f t="shared" si="679"/>
        <v>1</v>
      </c>
      <c r="E1171" s="14"/>
      <c r="F1171" s="14"/>
      <c r="G1171" s="14"/>
      <c r="H1171" s="14"/>
      <c r="I1171" s="14"/>
      <c r="J1171" s="14"/>
      <c r="K1171" s="100"/>
      <c r="L1171" s="102">
        <f t="shared" si="673"/>
        <v>1</v>
      </c>
      <c r="M1171" s="102" t="str">
        <f t="shared" ref="M1171:M1172" si="701">IF(AND(C1171&gt;=0.1,SUM(C1172)&gt;=C1171),"ok",IF(AND(C1171=0,SUM(C1172)=0),"ok",IF(AND(C1171&gt;0.1,SUM(C1172)=0),"wrong",IF(AND(C1171=0,SUM(C1172)&gt;0.1),"wrong"))))</f>
        <v>ok</v>
      </c>
    </row>
    <row r="1172" spans="1:13">
      <c r="A1172" s="128"/>
      <c r="B1172" s="131" t="s">
        <v>801</v>
      </c>
      <c r="C1172" s="129">
        <f>SUMIFS('Lleoliadau Cyflwyno'!$M:$M,'Lleoliadau Cyflwyno'!$E:$E,"Arall",'Lleoliadau Cyflwyno'!$D:$D,"Proffesiynol",'Lleoliadau Cyflwyno'!$G:$G,"Ie")</f>
        <v>0</v>
      </c>
      <c r="D1172" s="102">
        <f t="shared" si="679"/>
        <v>1</v>
      </c>
      <c r="E1172" s="14"/>
      <c r="F1172" s="14"/>
      <c r="G1172" s="14"/>
      <c r="H1172" s="14"/>
      <c r="I1172" s="14"/>
      <c r="J1172" s="14"/>
      <c r="K1172" s="100"/>
      <c r="L1172" s="102">
        <f t="shared" si="673"/>
        <v>1</v>
      </c>
      <c r="M1172" s="102" t="str">
        <f t="shared" si="701"/>
        <v>ok</v>
      </c>
    </row>
    <row r="1173" spans="1:13">
      <c r="A1173" s="128"/>
      <c r="B1173" s="131" t="s">
        <v>802</v>
      </c>
      <c r="C1173" s="129">
        <f>SUMIFS('Lleoliadau Cyflwyno'!$N:$N,'Lleoliadau Cyflwyno'!$E:$E,"Arall",'Lleoliadau Cyflwyno'!$D:$D,"Proffesiynol",'Lleoliadau Cyflwyno'!$G:$G,"Ie")</f>
        <v>0</v>
      </c>
      <c r="D1173" s="102">
        <f t="shared" si="679"/>
        <v>1</v>
      </c>
      <c r="E1173" s="14"/>
      <c r="F1173" s="14"/>
      <c r="G1173" s="14"/>
      <c r="H1173" s="14"/>
      <c r="I1173" s="14"/>
      <c r="J1173" s="14"/>
      <c r="K1173" s="100"/>
      <c r="L1173" s="102">
        <f t="shared" si="673"/>
        <v>1</v>
      </c>
      <c r="M1173" s="102" t="str">
        <f t="shared" ref="M1173" si="702">IF(C1172&lt;=C1173,"ok","wrong")</f>
        <v>ok</v>
      </c>
    </row>
    <row r="1174" spans="1:13" ht="15">
      <c r="A1174" s="128"/>
      <c r="B1174" s="130" t="s">
        <v>803</v>
      </c>
      <c r="C1174" s="129">
        <f>COUNTIFS('Lleoliadau Cyflwyno'!$E:$E,"Arall",'Lleoliadau Cyflwyno'!$D:$D,"Proffesiynol",'Lleoliadau Cyflwyno'!$H:$H,"Ie")</f>
        <v>0</v>
      </c>
      <c r="D1174" s="102">
        <f t="shared" si="679"/>
        <v>1</v>
      </c>
      <c r="E1174" s="14"/>
      <c r="F1174" s="14"/>
      <c r="G1174" s="14"/>
      <c r="H1174" s="14"/>
      <c r="I1174" s="14"/>
      <c r="J1174" s="14"/>
      <c r="K1174" s="100"/>
      <c r="L1174" s="102">
        <f t="shared" si="673"/>
        <v>1</v>
      </c>
      <c r="M1174" s="102" t="str">
        <f t="shared" ref="M1174:M1175" si="703">IF(AND(C1174&gt;=0.1,SUM(C1175)&gt;=C1174),"ok",IF(AND(C1174=0,SUM(C1175)=0),"ok",IF(AND(C1174&gt;0.1,SUM(C1175)=0),"wrong",IF(AND(C1174=0,SUM(C1175)&gt;0.1),"wrong"))))</f>
        <v>ok</v>
      </c>
    </row>
    <row r="1175" spans="1:13">
      <c r="A1175" s="128"/>
      <c r="B1175" s="131" t="s">
        <v>804</v>
      </c>
      <c r="C1175" s="129">
        <f>SUMIFS('Lleoliadau Cyflwyno'!$M:$M,'Lleoliadau Cyflwyno'!$E:$E,"Arall",'Lleoliadau Cyflwyno'!$F:$F,"Proffesiynol",'Lleoliadau Cyflwyno'!$H:$H,"Ie")</f>
        <v>0</v>
      </c>
      <c r="D1175" s="102">
        <f t="shared" si="679"/>
        <v>1</v>
      </c>
      <c r="E1175" s="14"/>
      <c r="F1175" s="14"/>
      <c r="G1175" s="14"/>
      <c r="H1175" s="14"/>
      <c r="I1175" s="14"/>
      <c r="J1175" s="14"/>
      <c r="K1175" s="100"/>
      <c r="L1175" s="102">
        <f t="shared" si="673"/>
        <v>1</v>
      </c>
      <c r="M1175" s="102" t="str">
        <f t="shared" si="703"/>
        <v>ok</v>
      </c>
    </row>
    <row r="1176" spans="1:13">
      <c r="A1176" s="128"/>
      <c r="B1176" s="131" t="s">
        <v>805</v>
      </c>
      <c r="C1176" s="129">
        <f>SUMIFS('Lleoliadau Cyflwyno'!$N:$N,'Lleoliadau Cyflwyno'!$E:$E,"Arall",'Lleoliadau Cyflwyno'!$D:$D,"Proffesiynol",'Lleoliadau Cyflwyno'!$H:$H,"Ie")</f>
        <v>0</v>
      </c>
      <c r="D1176" s="102">
        <f t="shared" si="679"/>
        <v>1</v>
      </c>
      <c r="E1176" s="14"/>
      <c r="F1176" s="14"/>
      <c r="G1176" s="14"/>
      <c r="H1176" s="14"/>
      <c r="I1176" s="14"/>
      <c r="J1176" s="14"/>
      <c r="K1176" s="100"/>
      <c r="L1176" s="102">
        <f t="shared" si="673"/>
        <v>1</v>
      </c>
      <c r="M1176" s="102" t="str">
        <f t="shared" ref="M1176" si="704">IF(C1175&lt;=C1176,"ok","wrong")</f>
        <v>ok</v>
      </c>
    </row>
    <row r="1177" spans="1:13" ht="15">
      <c r="A1177" s="128"/>
      <c r="B1177" s="130" t="s">
        <v>806</v>
      </c>
      <c r="C1177" s="129">
        <f>COUNTIFS('Lleoliadau Cyflwyno'!$E:$E,"Arall",'Lleoliadau Cyflwyno'!$D:$D,"Proffesiynol",'Lleoliadau Cyflwyno'!$I:$I,"Ie")</f>
        <v>0</v>
      </c>
      <c r="D1177" s="102">
        <f t="shared" si="679"/>
        <v>1</v>
      </c>
      <c r="E1177" s="14"/>
      <c r="F1177" s="14"/>
      <c r="G1177" s="14"/>
      <c r="H1177" s="14"/>
      <c r="I1177" s="14"/>
      <c r="J1177" s="14"/>
      <c r="K1177" s="100"/>
      <c r="L1177" s="102">
        <f t="shared" si="673"/>
        <v>1</v>
      </c>
      <c r="M1177" s="102" t="str">
        <f t="shared" ref="M1177:M1178" si="705">IF(AND(C1177&gt;=0.1,SUM(C1178)&gt;=C1177),"ok",IF(AND(C1177=0,SUM(C1178)=0),"ok",IF(AND(C1177&gt;0.1,SUM(C1178)=0),"wrong",IF(AND(C1177=0,SUM(C1178)&gt;0.1),"wrong"))))</f>
        <v>ok</v>
      </c>
    </row>
    <row r="1178" spans="1:13">
      <c r="A1178" s="128"/>
      <c r="B1178" s="131" t="s">
        <v>807</v>
      </c>
      <c r="C1178" s="129">
        <f>SUMIFS('Lleoliadau Cyflwyno'!$M:$M,'Lleoliadau Cyflwyno'!$E:$E,"Arall",'Lleoliadau Cyflwyno'!$D:$D,"Proffesiynol",'Lleoliadau Cyflwyno'!$I:$I,"Ie")</f>
        <v>0</v>
      </c>
      <c r="D1178" s="102">
        <f t="shared" si="679"/>
        <v>1</v>
      </c>
      <c r="E1178" s="14"/>
      <c r="F1178" s="14"/>
      <c r="G1178" s="14"/>
      <c r="H1178" s="14"/>
      <c r="I1178" s="14"/>
      <c r="J1178" s="14"/>
      <c r="K1178" s="100"/>
      <c r="L1178" s="102">
        <f t="shared" si="673"/>
        <v>1</v>
      </c>
      <c r="M1178" s="102" t="str">
        <f t="shared" si="705"/>
        <v>ok</v>
      </c>
    </row>
    <row r="1179" spans="1:13" ht="29">
      <c r="A1179" s="128"/>
      <c r="B1179" s="131" t="s">
        <v>808</v>
      </c>
      <c r="C1179" s="129">
        <f>SUMIFS('Lleoliadau Cyflwyno'!$N:$N,'Lleoliadau Cyflwyno'!$E:$E,"Arall",'Lleoliadau Cyflwyno'!$D:$D,"Proffesiynol",'Lleoliadau Cyflwyno'!$I:$I,"Ie")</f>
        <v>0</v>
      </c>
      <c r="D1179" s="102">
        <f t="shared" si="679"/>
        <v>1</v>
      </c>
      <c r="E1179" s="14"/>
      <c r="F1179" s="14"/>
      <c r="G1179" s="14"/>
      <c r="H1179" s="14"/>
      <c r="I1179" s="14"/>
      <c r="J1179" s="14"/>
      <c r="K1179" s="100"/>
      <c r="L1179" s="102">
        <f t="shared" si="673"/>
        <v>1</v>
      </c>
      <c r="M1179" s="102" t="str">
        <f t="shared" ref="M1179" si="706">IF(C1178&lt;=C1179,"ok","wrong")</f>
        <v>ok</v>
      </c>
    </row>
    <row r="1180" spans="1:13" ht="15">
      <c r="A1180" s="128"/>
      <c r="B1180" s="130" t="s">
        <v>809</v>
      </c>
      <c r="C1180" s="129">
        <f>COUNTIFS('Lleoliadau Cyflwyno'!$E:$E,"Arall",'Lleoliadau Cyflwyno'!$D:$D,"Proffesiynol",'Lleoliadau Cyflwyno'!$J:$J,"Ie")</f>
        <v>0</v>
      </c>
      <c r="D1180" s="102">
        <f t="shared" si="679"/>
        <v>1</v>
      </c>
      <c r="E1180" s="14"/>
      <c r="F1180" s="14"/>
      <c r="G1180" s="14"/>
      <c r="H1180" s="14"/>
      <c r="I1180" s="14"/>
      <c r="J1180" s="14"/>
      <c r="K1180" s="100"/>
      <c r="L1180" s="102">
        <f t="shared" si="673"/>
        <v>1</v>
      </c>
      <c r="M1180" s="102" t="str">
        <f t="shared" ref="M1180:M1181" si="707">IF(AND(C1180&gt;=0.1,SUM(C1181)&gt;=C1180),"ok",IF(AND(C1180=0,SUM(C1181)=0),"ok",IF(AND(C1180&gt;0.1,SUM(C1181)=0),"wrong",IF(AND(C1180=0,SUM(C1181)&gt;0.1),"wrong"))))</f>
        <v>ok</v>
      </c>
    </row>
    <row r="1181" spans="1:13">
      <c r="A1181" s="128"/>
      <c r="B1181" s="131" t="s">
        <v>810</v>
      </c>
      <c r="C1181" s="129">
        <f>SUMIFS('Lleoliadau Cyflwyno'!$M:$M,'Lleoliadau Cyflwyno'!$E:$E,"Arall",'Lleoliadau Cyflwyno'!$D:$D,"Proffesiynol",'Lleoliadau Cyflwyno'!$J:$J,"Ie")</f>
        <v>0</v>
      </c>
      <c r="D1181" s="102">
        <f t="shared" si="679"/>
        <v>1</v>
      </c>
      <c r="E1181" s="14"/>
      <c r="F1181" s="14"/>
      <c r="G1181" s="14"/>
      <c r="H1181" s="14"/>
      <c r="I1181" s="14"/>
      <c r="J1181" s="14"/>
      <c r="K1181" s="100"/>
      <c r="L1181" s="102">
        <f t="shared" si="673"/>
        <v>1</v>
      </c>
      <c r="M1181" s="102" t="str">
        <f t="shared" si="707"/>
        <v>ok</v>
      </c>
    </row>
    <row r="1182" spans="1:13">
      <c r="A1182" s="128"/>
      <c r="B1182" s="131" t="s">
        <v>811</v>
      </c>
      <c r="C1182" s="129">
        <f>SUMIFS('Lleoliadau Cyflwyno'!$N:$N,'Lleoliadau Cyflwyno'!$E:$E,"Arall",'Lleoliadau Cyflwyno'!$D:$D,"Proffesiynol",'Lleoliadau Cyflwyno'!$J:$J,"Ie")</f>
        <v>0</v>
      </c>
      <c r="D1182" s="102">
        <f t="shared" si="679"/>
        <v>1</v>
      </c>
      <c r="E1182" s="14"/>
      <c r="F1182" s="14"/>
      <c r="G1182" s="14"/>
      <c r="H1182" s="14"/>
      <c r="I1182" s="14"/>
      <c r="J1182" s="14"/>
      <c r="K1182" s="100"/>
      <c r="L1182" s="102">
        <f t="shared" si="673"/>
        <v>1</v>
      </c>
      <c r="M1182" s="102" t="str">
        <f t="shared" ref="M1182" si="708">IF(C1181&lt;=C1182,"ok","wrong")</f>
        <v>ok</v>
      </c>
    </row>
    <row r="1183" spans="1:13" ht="15">
      <c r="A1183" s="128"/>
      <c r="B1183" s="130" t="s">
        <v>812</v>
      </c>
      <c r="C1183" s="129">
        <f>COUNTIFS('Lleoliadau Cyflwyno'!$E:$E,"Arall",'Lleoliadau Cyflwyno'!$D:$D,"Proffesiynol",'Lleoliadau Cyflwyno'!$K:$K,"Ie")</f>
        <v>0</v>
      </c>
      <c r="D1183" s="102">
        <f t="shared" si="679"/>
        <v>1</v>
      </c>
      <c r="E1183" s="14"/>
      <c r="F1183" s="14"/>
      <c r="G1183" s="14"/>
      <c r="H1183" s="14"/>
      <c r="I1183" s="14"/>
      <c r="J1183" s="14"/>
      <c r="K1183" s="100"/>
      <c r="L1183" s="102">
        <f t="shared" si="673"/>
        <v>1</v>
      </c>
      <c r="M1183" s="102" t="str">
        <f t="shared" ref="M1183:M1184" si="709">IF(AND(C1183&gt;=0.1,SUM(C1184)&gt;=C1183),"ok",IF(AND(C1183=0,SUM(C1184)=0),"ok",IF(AND(C1183&gt;0.1,SUM(C1184)=0),"wrong",IF(AND(C1183=0,SUM(C1184)&gt;0.1),"wrong"))))</f>
        <v>ok</v>
      </c>
    </row>
    <row r="1184" spans="1:13" ht="29">
      <c r="A1184" s="128"/>
      <c r="B1184" s="131" t="s">
        <v>813</v>
      </c>
      <c r="C1184" s="129">
        <f>SUMIFS('Lleoliadau Cyflwyno'!$M:$M,'Lleoliadau Cyflwyno'!$E:$E,"Arall",'Lleoliadau Cyflwyno'!$D:$D,"Proffesiynol",'Lleoliadau Cyflwyno'!$K:$K,"Ie")</f>
        <v>0</v>
      </c>
      <c r="D1184" s="102">
        <f t="shared" si="679"/>
        <v>1</v>
      </c>
      <c r="E1184" s="14"/>
      <c r="F1184" s="14"/>
      <c r="G1184" s="14"/>
      <c r="H1184" s="14"/>
      <c r="I1184" s="14"/>
      <c r="J1184" s="14"/>
      <c r="K1184" s="100"/>
      <c r="L1184" s="102">
        <f t="shared" si="673"/>
        <v>1</v>
      </c>
      <c r="M1184" s="102" t="str">
        <f t="shared" si="709"/>
        <v>ok</v>
      </c>
    </row>
    <row r="1185" spans="1:13" ht="29">
      <c r="A1185" s="128"/>
      <c r="B1185" s="131" t="s">
        <v>814</v>
      </c>
      <c r="C1185" s="129">
        <f>SUMIFS('Lleoliadau Cyflwyno'!$N:$N,'Lleoliadau Cyflwyno'!$E:$E,"Arall",'Lleoliadau Cyflwyno'!$D:$D,"Proffesiynol",'Lleoliadau Cyflwyno'!$K:$K,"Ie")</f>
        <v>0</v>
      </c>
      <c r="D1185" s="102">
        <f t="shared" si="679"/>
        <v>1</v>
      </c>
      <c r="E1185" s="14"/>
      <c r="F1185" s="14"/>
      <c r="G1185" s="14"/>
      <c r="H1185" s="14"/>
      <c r="I1185" s="14"/>
      <c r="J1185" s="14"/>
      <c r="K1185" s="100"/>
      <c r="L1185" s="102">
        <f t="shared" si="673"/>
        <v>1</v>
      </c>
      <c r="M1185" s="102" t="str">
        <f t="shared" ref="M1185" si="710">IF(C1184&lt;=C1185,"ok","wrong")</f>
        <v>ok</v>
      </c>
    </row>
    <row r="1186" spans="1:13" ht="15">
      <c r="A1186" s="128"/>
      <c r="B1186" s="130" t="s">
        <v>815</v>
      </c>
      <c r="C1186" s="129">
        <f>COUNTIFS('Lleoliadau Cyflwyno'!$E:$E,"Arall",'Lleoliadau Cyflwyno'!$D:$D,"Amateur",'Lleoliadau Cyflwyno'!$F:$F,"Ie")</f>
        <v>0</v>
      </c>
      <c r="D1186" s="102">
        <f t="shared" si="679"/>
        <v>1</v>
      </c>
      <c r="E1186" s="14"/>
      <c r="F1186" s="14"/>
      <c r="G1186" s="14"/>
      <c r="H1186" s="14"/>
      <c r="I1186" s="14"/>
      <c r="J1186" s="14"/>
      <c r="K1186" s="100"/>
      <c r="L1186" s="102">
        <f t="shared" si="673"/>
        <v>1</v>
      </c>
      <c r="M1186" s="102" t="str">
        <f t="shared" ref="M1186:M1187" si="711">IF(AND(C1186&gt;=0.1,SUM(C1187)&gt;=C1186),"ok",IF(AND(C1186=0,SUM(C1187)=0),"ok",IF(AND(C1186&gt;0.1,SUM(C1187)=0),"wrong",IF(AND(C1186=0,SUM(C1187)&gt;0.1),"wrong"))))</f>
        <v>ok</v>
      </c>
    </row>
    <row r="1187" spans="1:13">
      <c r="A1187" s="128"/>
      <c r="B1187" s="131" t="s">
        <v>816</v>
      </c>
      <c r="C1187" s="129">
        <f>SUMIFS('Lleoliadau Cyflwyno'!$M:$M,'Lleoliadau Cyflwyno'!$E:$E,"Arall",'Lleoliadau Cyflwyno'!$D:$D,"Amateur",'Lleoliadau Cyflwyno'!$F:$F,"Ie")</f>
        <v>0</v>
      </c>
      <c r="D1187" s="102">
        <f t="shared" si="679"/>
        <v>1</v>
      </c>
      <c r="E1187" s="14"/>
      <c r="F1187" s="14"/>
      <c r="G1187" s="14"/>
      <c r="H1187" s="14"/>
      <c r="I1187" s="14"/>
      <c r="J1187" s="14"/>
      <c r="K1187" s="100"/>
      <c r="L1187" s="102">
        <f t="shared" si="673"/>
        <v>1</v>
      </c>
      <c r="M1187" s="102" t="str">
        <f t="shared" si="711"/>
        <v>ok</v>
      </c>
    </row>
    <row r="1188" spans="1:13">
      <c r="A1188" s="128"/>
      <c r="B1188" s="131" t="s">
        <v>817</v>
      </c>
      <c r="C1188" s="129">
        <f>SUMIFS('Lleoliadau Cyflwyno'!$N:$N,'Lleoliadau Cyflwyno'!$E:$E,"Arall",'Lleoliadau Cyflwyno'!$D:$D,"Amateur",'Lleoliadau Cyflwyno'!$F:$F,"Ie")</f>
        <v>0</v>
      </c>
      <c r="D1188" s="102">
        <f t="shared" si="679"/>
        <v>1</v>
      </c>
      <c r="E1188" s="14"/>
      <c r="F1188" s="14"/>
      <c r="G1188" s="14"/>
      <c r="H1188" s="14"/>
      <c r="I1188" s="14"/>
      <c r="J1188" s="14"/>
      <c r="K1188" s="100"/>
      <c r="L1188" s="102">
        <f t="shared" si="673"/>
        <v>1</v>
      </c>
      <c r="M1188" s="102" t="str">
        <f t="shared" ref="M1188" si="712">IF(C1187&lt;=C1188,"ok","wrong")</f>
        <v>ok</v>
      </c>
    </row>
    <row r="1189" spans="1:13" ht="15">
      <c r="A1189" s="128"/>
      <c r="B1189" s="130" t="s">
        <v>818</v>
      </c>
      <c r="C1189" s="129">
        <f>COUNTIFS('Lleoliadau Cyflwyno'!$E:$E,"Arall",'Lleoliadau Cyflwyno'!$D:$D,"Amateur",'Lleoliadau Cyflwyno'!$G:$G,"Ie")</f>
        <v>0</v>
      </c>
      <c r="D1189" s="102">
        <f t="shared" si="679"/>
        <v>1</v>
      </c>
      <c r="E1189" s="14"/>
      <c r="F1189" s="14"/>
      <c r="G1189" s="14"/>
      <c r="H1189" s="14"/>
      <c r="I1189" s="14"/>
      <c r="J1189" s="14"/>
      <c r="K1189" s="100"/>
      <c r="L1189" s="102">
        <f t="shared" si="673"/>
        <v>1</v>
      </c>
      <c r="M1189" s="102" t="str">
        <f t="shared" ref="M1189:M1190" si="713">IF(AND(C1189&gt;=0.1,SUM(C1190)&gt;=C1189),"ok",IF(AND(C1189=0,SUM(C1190)=0),"ok",IF(AND(C1189&gt;0.1,SUM(C1190)=0),"wrong",IF(AND(C1189=0,SUM(C1190)&gt;0.1),"wrong"))))</f>
        <v>ok</v>
      </c>
    </row>
    <row r="1190" spans="1:13">
      <c r="A1190" s="128"/>
      <c r="B1190" s="131" t="s">
        <v>819</v>
      </c>
      <c r="C1190" s="129">
        <f>SUMIFS('Lleoliadau Cyflwyno'!$M:$M,'Lleoliadau Cyflwyno'!$E:$E,"Arall",'Lleoliadau Cyflwyno'!$D:$D,"Amateur",'Lleoliadau Cyflwyno'!$G:$G,"Ie")</f>
        <v>0</v>
      </c>
      <c r="D1190" s="102">
        <f t="shared" si="679"/>
        <v>1</v>
      </c>
      <c r="E1190" s="14"/>
      <c r="F1190" s="14"/>
      <c r="G1190" s="14"/>
      <c r="H1190" s="14"/>
      <c r="I1190" s="14"/>
      <c r="J1190" s="14"/>
      <c r="K1190" s="100"/>
      <c r="L1190" s="102">
        <f t="shared" si="673"/>
        <v>1</v>
      </c>
      <c r="M1190" s="102" t="str">
        <f t="shared" si="713"/>
        <v>ok</v>
      </c>
    </row>
    <row r="1191" spans="1:13">
      <c r="A1191" s="128"/>
      <c r="B1191" s="131" t="s">
        <v>820</v>
      </c>
      <c r="C1191" s="129">
        <f>SUMIFS('Lleoliadau Cyflwyno'!$N:$N,'Lleoliadau Cyflwyno'!$E:$E,"Arall",'Lleoliadau Cyflwyno'!$D:$D,"Amateur",'Lleoliadau Cyflwyno'!$G:$G,"Ie")</f>
        <v>0</v>
      </c>
      <c r="D1191" s="102">
        <f t="shared" si="679"/>
        <v>1</v>
      </c>
      <c r="E1191" s="14"/>
      <c r="F1191" s="14"/>
      <c r="G1191" s="14"/>
      <c r="H1191" s="14"/>
      <c r="I1191" s="14"/>
      <c r="J1191" s="14"/>
      <c r="K1191" s="100"/>
      <c r="L1191" s="102">
        <f t="shared" si="673"/>
        <v>1</v>
      </c>
      <c r="M1191" s="102" t="str">
        <f t="shared" ref="M1191" si="714">IF(C1190&lt;=C1191,"ok","wrong")</f>
        <v>ok</v>
      </c>
    </row>
    <row r="1192" spans="1:13" ht="15">
      <c r="A1192" s="128"/>
      <c r="B1192" s="130" t="s">
        <v>821</v>
      </c>
      <c r="C1192" s="129">
        <f>COUNTIFS('Lleoliadau Cyflwyno'!$E:$E,"Arall",'Lleoliadau Cyflwyno'!$D:$D,"Amateur",'Lleoliadau Cyflwyno'!$H:$H,"Ie")</f>
        <v>0</v>
      </c>
      <c r="D1192" s="102">
        <f t="shared" si="679"/>
        <v>1</v>
      </c>
      <c r="E1192" s="14"/>
      <c r="F1192" s="14"/>
      <c r="G1192" s="14"/>
      <c r="H1192" s="14"/>
      <c r="I1192" s="14"/>
      <c r="J1192" s="14"/>
      <c r="K1192" s="100"/>
      <c r="L1192" s="102">
        <f t="shared" si="673"/>
        <v>1</v>
      </c>
      <c r="M1192" s="102" t="str">
        <f t="shared" ref="M1192:M1193" si="715">IF(AND(C1192&gt;=0.1,SUM(C1193)&gt;=C1192),"ok",IF(AND(C1192=0,SUM(C1193)=0),"ok",IF(AND(C1192&gt;0.1,SUM(C1193)=0),"wrong",IF(AND(C1192=0,SUM(C1193)&gt;0.1),"wrong"))))</f>
        <v>ok</v>
      </c>
    </row>
    <row r="1193" spans="1:13">
      <c r="A1193" s="128"/>
      <c r="B1193" s="131" t="s">
        <v>822</v>
      </c>
      <c r="C1193" s="129">
        <f>SUMIFS('Lleoliadau Cyflwyno'!$M:$M,'Lleoliadau Cyflwyno'!$E:$E,"Arall",'Lleoliadau Cyflwyno'!$D:$D,"Amateur",'Lleoliadau Cyflwyno'!$H:$H,"Ie")</f>
        <v>0</v>
      </c>
      <c r="D1193" s="102">
        <f t="shared" si="679"/>
        <v>1</v>
      </c>
      <c r="E1193" s="14"/>
      <c r="F1193" s="14"/>
      <c r="G1193" s="14"/>
      <c r="H1193" s="14"/>
      <c r="I1193" s="14"/>
      <c r="J1193" s="14"/>
      <c r="K1193" s="100"/>
      <c r="L1193" s="102">
        <f t="shared" si="673"/>
        <v>1</v>
      </c>
      <c r="M1193" s="102" t="str">
        <f t="shared" si="715"/>
        <v>ok</v>
      </c>
    </row>
    <row r="1194" spans="1:13">
      <c r="A1194" s="128"/>
      <c r="B1194" s="131" t="s">
        <v>823</v>
      </c>
      <c r="C1194" s="129">
        <f>SUMIFS('Lleoliadau Cyflwyno'!$N:$N,'Lleoliadau Cyflwyno'!$E:$E,"Arall",'Lleoliadau Cyflwyno'!$D:$D,"Amateur",'Lleoliadau Cyflwyno'!$H:$H,"Ie")</f>
        <v>0</v>
      </c>
      <c r="D1194" s="102">
        <f t="shared" si="679"/>
        <v>1</v>
      </c>
      <c r="E1194" s="14"/>
      <c r="F1194" s="14"/>
      <c r="G1194" s="14"/>
      <c r="H1194" s="14"/>
      <c r="I1194" s="14"/>
      <c r="J1194" s="14"/>
      <c r="K1194" s="100"/>
      <c r="L1194" s="102">
        <f t="shared" si="673"/>
        <v>1</v>
      </c>
      <c r="M1194" s="102" t="str">
        <f t="shared" ref="M1194" si="716">IF(C1193&lt;=C1194,"ok","wrong")</f>
        <v>ok</v>
      </c>
    </row>
    <row r="1195" spans="1:13" ht="15">
      <c r="A1195" s="128"/>
      <c r="B1195" s="130" t="s">
        <v>824</v>
      </c>
      <c r="C1195" s="129">
        <f>COUNTIFS('Lleoliadau Cyflwyno'!$E:$E,"Arall",'Lleoliadau Cyflwyno'!$D:$D,"Amateur",'Lleoliadau Cyflwyno'!$I:$I,"Ie")</f>
        <v>0</v>
      </c>
      <c r="D1195" s="102">
        <f t="shared" si="679"/>
        <v>1</v>
      </c>
      <c r="E1195" s="14"/>
      <c r="F1195" s="14"/>
      <c r="G1195" s="14"/>
      <c r="H1195" s="14"/>
      <c r="I1195" s="14"/>
      <c r="J1195" s="14"/>
      <c r="K1195" s="100"/>
      <c r="L1195" s="102">
        <f t="shared" si="673"/>
        <v>1</v>
      </c>
      <c r="M1195" s="102" t="str">
        <f t="shared" ref="M1195:M1196" si="717">IF(AND(C1195&gt;=0.1,SUM(C1196)&gt;=C1195),"ok",IF(AND(C1195=0,SUM(C1196)=0),"ok",IF(AND(C1195&gt;0.1,SUM(C1196)=0),"wrong",IF(AND(C1195=0,SUM(C1196)&gt;0.1),"wrong"))))</f>
        <v>ok</v>
      </c>
    </row>
    <row r="1196" spans="1:13">
      <c r="A1196" s="128"/>
      <c r="B1196" s="131" t="s">
        <v>825</v>
      </c>
      <c r="C1196" s="129">
        <f>SUMIFS('Lleoliadau Cyflwyno'!$M:$M,'Lleoliadau Cyflwyno'!$E:$E,"Arall",'Lleoliadau Cyflwyno'!$D:$D,"Amateur",'Lleoliadau Cyflwyno'!$I:$I,"Ie")</f>
        <v>0</v>
      </c>
      <c r="D1196" s="102">
        <f t="shared" si="679"/>
        <v>1</v>
      </c>
      <c r="E1196" s="14"/>
      <c r="F1196" s="14"/>
      <c r="G1196" s="14"/>
      <c r="H1196" s="14"/>
      <c r="I1196" s="14"/>
      <c r="J1196" s="14"/>
      <c r="K1196" s="100"/>
      <c r="L1196" s="102">
        <f t="shared" ref="L1196:L1221" si="718">IF(M1196="ok",1,0)</f>
        <v>1</v>
      </c>
      <c r="M1196" s="102" t="str">
        <f t="shared" si="717"/>
        <v>ok</v>
      </c>
    </row>
    <row r="1197" spans="1:13">
      <c r="A1197" s="128"/>
      <c r="B1197" s="131" t="s">
        <v>826</v>
      </c>
      <c r="C1197" s="129">
        <f>SUMIFS('Lleoliadau Cyflwyno'!$N:$N,'Lleoliadau Cyflwyno'!$E:$E,"Arall",'Lleoliadau Cyflwyno'!$D:$D,"Amateur",'Lleoliadau Cyflwyno'!$I:$I,"Ie")</f>
        <v>0</v>
      </c>
      <c r="D1197" s="102">
        <f t="shared" si="679"/>
        <v>1</v>
      </c>
      <c r="E1197" s="14"/>
      <c r="F1197" s="14"/>
      <c r="G1197" s="14"/>
      <c r="H1197" s="14"/>
      <c r="I1197" s="14"/>
      <c r="J1197" s="14"/>
      <c r="K1197" s="100"/>
      <c r="L1197" s="102">
        <f t="shared" si="718"/>
        <v>1</v>
      </c>
      <c r="M1197" s="102" t="str">
        <f t="shared" ref="M1197" si="719">IF(C1196&lt;=C1197,"ok","wrong")</f>
        <v>ok</v>
      </c>
    </row>
    <row r="1198" spans="1:13" ht="15">
      <c r="A1198" s="128"/>
      <c r="B1198" s="130" t="s">
        <v>827</v>
      </c>
      <c r="C1198" s="129">
        <f>COUNTIFS('Lleoliadau Cyflwyno'!$E:$E,"Arall",'Lleoliadau Cyflwyno'!$D:$D,"Amateur",'Lleoliadau Cyflwyno'!$J:$J,"Ie")</f>
        <v>0</v>
      </c>
      <c r="D1198" s="102">
        <f t="shared" si="679"/>
        <v>1</v>
      </c>
      <c r="E1198" s="14"/>
      <c r="F1198" s="14"/>
      <c r="G1198" s="14"/>
      <c r="H1198" s="14"/>
      <c r="I1198" s="14"/>
      <c r="J1198" s="14"/>
      <c r="K1198" s="100"/>
      <c r="L1198" s="102">
        <f t="shared" si="718"/>
        <v>1</v>
      </c>
      <c r="M1198" s="102" t="str">
        <f t="shared" ref="M1198:M1199" si="720">IF(AND(C1198&gt;=0.1,SUM(C1199)&gt;=C1198),"ok",IF(AND(C1198=0,SUM(C1199)=0),"ok",IF(AND(C1198&gt;0.1,SUM(C1199)=0),"wrong",IF(AND(C1198=0,SUM(C1199)&gt;0.1),"wrong"))))</f>
        <v>ok</v>
      </c>
    </row>
    <row r="1199" spans="1:13">
      <c r="A1199" s="128"/>
      <c r="B1199" s="131" t="s">
        <v>828</v>
      </c>
      <c r="C1199" s="129">
        <f>SUMIFS('Lleoliadau Cyflwyno'!$M:$M,'Lleoliadau Cyflwyno'!$E:$E,"Arall",'Lleoliadau Cyflwyno'!$D:$D,"Amateur",'Lleoliadau Cyflwyno'!$J:$J,"Ie")</f>
        <v>0</v>
      </c>
      <c r="D1199" s="102">
        <f t="shared" si="679"/>
        <v>1</v>
      </c>
      <c r="E1199" s="14"/>
      <c r="F1199" s="14"/>
      <c r="G1199" s="14"/>
      <c r="H1199" s="14"/>
      <c r="I1199" s="14"/>
      <c r="J1199" s="14"/>
      <c r="K1199" s="100"/>
      <c r="L1199" s="102">
        <f t="shared" si="718"/>
        <v>1</v>
      </c>
      <c r="M1199" s="102" t="str">
        <f t="shared" si="720"/>
        <v>ok</v>
      </c>
    </row>
    <row r="1200" spans="1:13">
      <c r="A1200" s="128"/>
      <c r="B1200" s="131" t="s">
        <v>829</v>
      </c>
      <c r="C1200" s="129">
        <f>SUMIFS('Lleoliadau Cyflwyno'!$N:$N,'Lleoliadau Cyflwyno'!$E:$E,"Arall",'Lleoliadau Cyflwyno'!$D:$D,"Amateur",'Lleoliadau Cyflwyno'!$J:$J,"Ie")</f>
        <v>0</v>
      </c>
      <c r="D1200" s="102">
        <f t="shared" si="679"/>
        <v>1</v>
      </c>
      <c r="E1200" s="14"/>
      <c r="F1200" s="14"/>
      <c r="G1200" s="14"/>
      <c r="H1200" s="14"/>
      <c r="I1200" s="14"/>
      <c r="J1200" s="14"/>
      <c r="K1200" s="100"/>
      <c r="L1200" s="102">
        <f t="shared" si="718"/>
        <v>1</v>
      </c>
      <c r="M1200" s="102" t="str">
        <f t="shared" ref="M1200" si="721">IF(C1199&lt;=C1200,"ok","wrong")</f>
        <v>ok</v>
      </c>
    </row>
    <row r="1201" spans="1:13" ht="15">
      <c r="A1201" s="128"/>
      <c r="B1201" s="130" t="s">
        <v>830</v>
      </c>
      <c r="C1201" s="129">
        <f>COUNTIFS('Lleoliadau Cyflwyno'!$E:$E,"Arall",'Lleoliadau Cyflwyno'!$D:$D,"Amateur",'Lleoliadau Cyflwyno'!$K:$K,"Ie")</f>
        <v>0</v>
      </c>
      <c r="D1201" s="102">
        <f t="shared" si="679"/>
        <v>1</v>
      </c>
      <c r="E1201" s="14"/>
      <c r="F1201" s="14"/>
      <c r="G1201" s="14"/>
      <c r="H1201" s="14"/>
      <c r="I1201" s="14"/>
      <c r="J1201" s="14"/>
      <c r="K1201" s="100"/>
      <c r="L1201" s="102">
        <f t="shared" si="718"/>
        <v>1</v>
      </c>
      <c r="M1201" s="102" t="str">
        <f t="shared" ref="M1201:M1202" si="722">IF(AND(C1201&gt;=0.1,SUM(C1202)&gt;=C1201),"ok",IF(AND(C1201=0,SUM(C1202)=0),"ok",IF(AND(C1201&gt;0.1,SUM(C1202)=0),"wrong",IF(AND(C1201=0,SUM(C1202)&gt;0.1),"wrong"))))</f>
        <v>ok</v>
      </c>
    </row>
    <row r="1202" spans="1:13" ht="29">
      <c r="A1202" s="128"/>
      <c r="B1202" s="131" t="s">
        <v>831</v>
      </c>
      <c r="C1202" s="129">
        <f>SUMIFS('Lleoliadau Cyflwyno'!$M:$M,'Lleoliadau Cyflwyno'!$E:$E,"Arall",'Lleoliadau Cyflwyno'!$D:$D,"Amateur",'Lleoliadau Cyflwyno'!$K:$K,"Ie")</f>
        <v>0</v>
      </c>
      <c r="D1202" s="102">
        <f t="shared" si="679"/>
        <v>1</v>
      </c>
      <c r="E1202" s="14"/>
      <c r="F1202" s="14"/>
      <c r="G1202" s="14"/>
      <c r="H1202" s="14"/>
      <c r="I1202" s="14"/>
      <c r="J1202" s="14"/>
      <c r="K1202" s="100"/>
      <c r="L1202" s="102">
        <f t="shared" si="718"/>
        <v>1</v>
      </c>
      <c r="M1202" s="102" t="str">
        <f t="shared" si="722"/>
        <v>ok</v>
      </c>
    </row>
    <row r="1203" spans="1:13" ht="29">
      <c r="A1203" s="128"/>
      <c r="B1203" s="131" t="s">
        <v>832</v>
      </c>
      <c r="C1203" s="129">
        <f>SUMIFS('Lleoliadau Cyflwyno'!$N:$N,'Lleoliadau Cyflwyno'!$E:$E,"Arall",'Lleoliadau Cyflwyno'!$D:$D,"Amateur",'Lleoliadau Cyflwyno'!$K:$K,"Ie")</f>
        <v>0</v>
      </c>
      <c r="D1203" s="102">
        <f t="shared" si="679"/>
        <v>1</v>
      </c>
      <c r="E1203" s="14"/>
      <c r="F1203" s="14"/>
      <c r="G1203" s="14"/>
      <c r="H1203" s="14"/>
      <c r="I1203" s="14"/>
      <c r="J1203" s="14"/>
      <c r="K1203" s="100"/>
      <c r="L1203" s="102">
        <f t="shared" si="718"/>
        <v>1</v>
      </c>
      <c r="M1203" s="102" t="str">
        <f t="shared" ref="M1203" si="723">IF(C1202&lt;=C1203,"ok","wrong")</f>
        <v>ok</v>
      </c>
    </row>
    <row r="1204" spans="1:13" ht="29">
      <c r="A1204" s="131" t="s">
        <v>839</v>
      </c>
      <c r="B1204" s="131" t="s">
        <v>840</v>
      </c>
      <c r="C1204" s="129">
        <f>COUNTIFS('Lleoliadau Cyflwyno'!$L:$L,"Do",'Lleoliadau Cyflwyno'!$D:$D,"Proffesiynol",'Lleoliadau Cyflwyno'!$F:$F,"Ie")</f>
        <v>0</v>
      </c>
      <c r="D1204" s="102">
        <f t="shared" ref="D1204:D1221" si="724">L1204</f>
        <v>1</v>
      </c>
      <c r="E1204" s="14"/>
      <c r="F1204" s="14"/>
      <c r="G1204" s="14"/>
      <c r="H1204" s="14"/>
      <c r="I1204" s="14"/>
      <c r="J1204" s="14"/>
      <c r="K1204" s="100"/>
      <c r="L1204" s="102">
        <f t="shared" si="718"/>
        <v>1</v>
      </c>
      <c r="M1204" s="102" t="str">
        <f t="shared" ref="M1204:M1205" si="725">IF(AND(C1204&gt;=0.1,SUM(C1205)&gt;=C1204),"ok",IF(AND(C1204=0,SUM(C1205)=0),"ok",IF(AND(C1204&gt;0.1,SUM(C1205)=0),"wrong",IF(AND(C1204=0,SUM(C1205)&gt;0.1),"wrong"))))</f>
        <v>ok</v>
      </c>
    </row>
    <row r="1205" spans="1:13" ht="39">
      <c r="A1205" s="128"/>
      <c r="B1205" s="132" t="s">
        <v>841</v>
      </c>
      <c r="C1205" s="129">
        <f>SUMIFS('Lleoliadau Cyflwyno'!$M:$M,'Lleoliadau Cyflwyno'!$L:$L,"Do",'Lleoliadau Cyflwyno'!$D:$D,"Proffesiynol",'Lleoliadau Cyflwyno'!$F:$F,"Ie")</f>
        <v>0</v>
      </c>
      <c r="D1205" s="102">
        <f t="shared" si="724"/>
        <v>1</v>
      </c>
      <c r="E1205" s="14"/>
      <c r="F1205" s="14"/>
      <c r="G1205" s="14"/>
      <c r="H1205" s="14"/>
      <c r="I1205" s="14"/>
      <c r="J1205" s="14"/>
      <c r="K1205" s="100"/>
      <c r="L1205" s="102">
        <f t="shared" si="718"/>
        <v>1</v>
      </c>
      <c r="M1205" s="102" t="str">
        <f t="shared" si="725"/>
        <v>ok</v>
      </c>
    </row>
    <row r="1206" spans="1:13" ht="39">
      <c r="A1206" s="128"/>
      <c r="B1206" s="132" t="s">
        <v>842</v>
      </c>
      <c r="C1206" s="129">
        <f>SUMIFS('Lleoliadau Cyflwyno'!$N:$N,'Lleoliadau Cyflwyno'!$L:$L,"Do",'Lleoliadau Cyflwyno'!$D:$D,"Proffesiynol",'Lleoliadau Cyflwyno'!$F:$F,"Ie")</f>
        <v>0</v>
      </c>
      <c r="D1206" s="102">
        <f t="shared" si="724"/>
        <v>1</v>
      </c>
      <c r="E1206" s="14"/>
      <c r="F1206" s="14"/>
      <c r="G1206" s="14"/>
      <c r="H1206" s="14"/>
      <c r="I1206" s="14"/>
      <c r="J1206" s="14"/>
      <c r="K1206" s="100"/>
      <c r="L1206" s="102">
        <f t="shared" si="718"/>
        <v>1</v>
      </c>
      <c r="M1206" s="102" t="str">
        <f t="shared" ref="M1206" si="726">IF(C1205&lt;=C1206,"ok","wrong")</f>
        <v>ok</v>
      </c>
    </row>
    <row r="1207" spans="1:13" ht="29">
      <c r="A1207" s="128"/>
      <c r="B1207" s="131" t="s">
        <v>843</v>
      </c>
      <c r="C1207" s="129">
        <f>COUNTIFS('Lleoliadau Cyflwyno'!$L:$L,"Do",'Lleoliadau Cyflwyno'!$D:$D,"Proffesiynol",'Lleoliadau Cyflwyno'!$G:$G,"Ie")</f>
        <v>0</v>
      </c>
      <c r="D1207" s="102">
        <f t="shared" si="724"/>
        <v>1</v>
      </c>
      <c r="E1207" s="14"/>
      <c r="F1207" s="14"/>
      <c r="G1207" s="14"/>
      <c r="H1207" s="14"/>
      <c r="I1207" s="14"/>
      <c r="J1207" s="14"/>
      <c r="K1207" s="100"/>
      <c r="L1207" s="102">
        <f t="shared" si="718"/>
        <v>1</v>
      </c>
      <c r="M1207" s="102" t="str">
        <f t="shared" ref="M1207:M1208" si="727">IF(AND(C1207&gt;=0.1,SUM(C1208)&gt;=C1207),"ok",IF(AND(C1207=0,SUM(C1208)=0),"ok",IF(AND(C1207&gt;0.1,SUM(C1208)=0),"wrong",IF(AND(C1207=0,SUM(C1208)&gt;0.1),"wrong"))))</f>
        <v>ok</v>
      </c>
    </row>
    <row r="1208" spans="1:13" ht="39">
      <c r="A1208" s="128"/>
      <c r="B1208" s="132" t="s">
        <v>844</v>
      </c>
      <c r="C1208" s="129">
        <f>SUMIFS('Lleoliadau Cyflwyno'!$M:$M,'Lleoliadau Cyflwyno'!$L:$L,"Do",'Lleoliadau Cyflwyno'!$D:$D,"Proffesiynol",'Lleoliadau Cyflwyno'!$G:$G,"Ie")</f>
        <v>0</v>
      </c>
      <c r="D1208" s="102">
        <f t="shared" si="724"/>
        <v>1</v>
      </c>
      <c r="E1208" s="14"/>
      <c r="F1208" s="14"/>
      <c r="G1208" s="14"/>
      <c r="H1208" s="14"/>
      <c r="I1208" s="14"/>
      <c r="J1208" s="14"/>
      <c r="K1208" s="100"/>
      <c r="L1208" s="102">
        <f t="shared" si="718"/>
        <v>1</v>
      </c>
      <c r="M1208" s="102" t="str">
        <f t="shared" si="727"/>
        <v>ok</v>
      </c>
    </row>
    <row r="1209" spans="1:13" ht="39">
      <c r="A1209" s="128"/>
      <c r="B1209" s="132" t="s">
        <v>845</v>
      </c>
      <c r="C1209" s="129">
        <f>SUMIFS('Lleoliadau Cyflwyno'!$N:$N,'Lleoliadau Cyflwyno'!$L:$L,"Do",'Lleoliadau Cyflwyno'!$D:$D,"Proffesiynol",'Lleoliadau Cyflwyno'!$G:$G,"Ie")</f>
        <v>0</v>
      </c>
      <c r="D1209" s="102">
        <f t="shared" si="724"/>
        <v>1</v>
      </c>
      <c r="E1209" s="14"/>
      <c r="F1209" s="14"/>
      <c r="G1209" s="14"/>
      <c r="H1209" s="14"/>
      <c r="I1209" s="14"/>
      <c r="J1209" s="14"/>
      <c r="K1209" s="100"/>
      <c r="L1209" s="102">
        <f t="shared" si="718"/>
        <v>1</v>
      </c>
      <c r="M1209" s="102" t="str">
        <f t="shared" ref="M1209" si="728">IF(C1208&lt;=C1209,"ok","wrong")</f>
        <v>ok</v>
      </c>
    </row>
    <row r="1210" spans="1:13" ht="29">
      <c r="A1210" s="128"/>
      <c r="B1210" s="131" t="s">
        <v>846</v>
      </c>
      <c r="C1210" s="129">
        <f>COUNTIFS('Lleoliadau Cyflwyno'!$L:$L,"Do",'Lleoliadau Cyflwyno'!$D:$D,"Proffesiynol",'Lleoliadau Cyflwyno'!$H:$H,"Ie")</f>
        <v>0</v>
      </c>
      <c r="D1210" s="102">
        <f t="shared" si="724"/>
        <v>1</v>
      </c>
      <c r="E1210" s="14"/>
      <c r="F1210" s="14"/>
      <c r="G1210" s="14"/>
      <c r="H1210" s="14"/>
      <c r="I1210" s="14"/>
      <c r="J1210" s="14"/>
      <c r="K1210" s="100"/>
      <c r="L1210" s="102">
        <f t="shared" si="718"/>
        <v>1</v>
      </c>
      <c r="M1210" s="102" t="str">
        <f t="shared" ref="M1210:M1211" si="729">IF(AND(C1210&gt;=0.1,SUM(C1211)&gt;=C1210),"ok",IF(AND(C1210=0,SUM(C1211)=0),"ok",IF(AND(C1210&gt;0.1,SUM(C1211)=0),"wrong",IF(AND(C1210=0,SUM(C1211)&gt;0.1),"wrong"))))</f>
        <v>ok</v>
      </c>
    </row>
    <row r="1211" spans="1:13" ht="43.5">
      <c r="A1211" s="128"/>
      <c r="B1211" s="131" t="s">
        <v>847</v>
      </c>
      <c r="C1211" s="129">
        <f>SUMIFS('Lleoliadau Cyflwyno'!$M:$M,'Lleoliadau Cyflwyno'!$L:$L,"Do",'Lleoliadau Cyflwyno'!$D:$D,"Proffesiynol",'Lleoliadau Cyflwyno'!$H:$H,"Ie")</f>
        <v>0</v>
      </c>
      <c r="D1211" s="102">
        <f t="shared" si="724"/>
        <v>1</v>
      </c>
      <c r="E1211" s="14"/>
      <c r="F1211" s="14"/>
      <c r="G1211" s="14"/>
      <c r="H1211" s="14"/>
      <c r="I1211" s="14"/>
      <c r="J1211" s="14"/>
      <c r="K1211" s="100"/>
      <c r="L1211" s="102">
        <f t="shared" si="718"/>
        <v>1</v>
      </c>
      <c r="M1211" s="102" t="str">
        <f t="shared" si="729"/>
        <v>ok</v>
      </c>
    </row>
    <row r="1212" spans="1:13" ht="43.5">
      <c r="A1212" s="128"/>
      <c r="B1212" s="131" t="s">
        <v>848</v>
      </c>
      <c r="C1212" s="129">
        <f>SUMIFS('Lleoliadau Cyflwyno'!$N:$N,'Lleoliadau Cyflwyno'!$L:$L,"Do",'Lleoliadau Cyflwyno'!$D:$D,"Proffesiynol",'Lleoliadau Cyflwyno'!$H:$H,"Ie")</f>
        <v>0</v>
      </c>
      <c r="D1212" s="102">
        <f t="shared" si="724"/>
        <v>1</v>
      </c>
      <c r="E1212" s="14"/>
      <c r="F1212" s="14"/>
      <c r="G1212" s="14"/>
      <c r="H1212" s="14"/>
      <c r="I1212" s="14"/>
      <c r="J1212" s="14"/>
      <c r="K1212" s="100"/>
      <c r="L1212" s="102">
        <f t="shared" si="718"/>
        <v>1</v>
      </c>
      <c r="M1212" s="102" t="str">
        <f t="shared" ref="M1212" si="730">IF(C1211&lt;=C1212,"ok","wrong")</f>
        <v>ok</v>
      </c>
    </row>
    <row r="1213" spans="1:13" ht="29">
      <c r="A1213" s="128"/>
      <c r="B1213" s="131" t="s">
        <v>849</v>
      </c>
      <c r="C1213" s="129">
        <f>COUNTIFS('Lleoliadau Cyflwyno'!$L:$L,"Do",'Lleoliadau Cyflwyno'!$D:$D,"Proffesiynol",'Lleoliadau Cyflwyno'!$I:$I,"Ie")</f>
        <v>0</v>
      </c>
      <c r="D1213" s="102">
        <f t="shared" si="724"/>
        <v>1</v>
      </c>
      <c r="E1213" s="14"/>
      <c r="F1213" s="14"/>
      <c r="G1213" s="14"/>
      <c r="H1213" s="14"/>
      <c r="I1213" s="14"/>
      <c r="J1213" s="14"/>
      <c r="K1213" s="100"/>
      <c r="L1213" s="102">
        <f t="shared" si="718"/>
        <v>1</v>
      </c>
      <c r="M1213" s="102" t="str">
        <f t="shared" ref="M1213:M1214" si="731">IF(AND(C1213&gt;=0.1,SUM(C1214)&gt;=C1213),"ok",IF(AND(C1213=0,SUM(C1214)=0),"ok",IF(AND(C1213&gt;0.1,SUM(C1214)=0),"wrong",IF(AND(C1213=0,SUM(C1214)&gt;0.1),"wrong"))))</f>
        <v>ok</v>
      </c>
    </row>
    <row r="1214" spans="1:13" ht="43.5">
      <c r="A1214" s="128"/>
      <c r="B1214" s="131" t="s">
        <v>850</v>
      </c>
      <c r="C1214" s="129">
        <f>SUMIFS('Lleoliadau Cyflwyno'!$M:$M,'Lleoliadau Cyflwyno'!$L:$L,"Do",'Lleoliadau Cyflwyno'!$D:$D,"Proffesiynol",'Lleoliadau Cyflwyno'!$I:$I,"Ie")</f>
        <v>0</v>
      </c>
      <c r="D1214" s="102">
        <f t="shared" si="724"/>
        <v>1</v>
      </c>
      <c r="E1214" s="14"/>
      <c r="F1214" s="14"/>
      <c r="G1214" s="14"/>
      <c r="H1214" s="14"/>
      <c r="I1214" s="14"/>
      <c r="J1214" s="14"/>
      <c r="K1214" s="100"/>
      <c r="L1214" s="102">
        <f t="shared" si="718"/>
        <v>1</v>
      </c>
      <c r="M1214" s="102" t="str">
        <f t="shared" si="731"/>
        <v>ok</v>
      </c>
    </row>
    <row r="1215" spans="1:13" ht="43.5">
      <c r="A1215" s="128"/>
      <c r="B1215" s="131" t="s">
        <v>851</v>
      </c>
      <c r="C1215" s="129">
        <f>SUMIFS('Lleoliadau Cyflwyno'!$N:$N,'Lleoliadau Cyflwyno'!$L:$L,"Do",'Lleoliadau Cyflwyno'!$D:$D,"Proffesiynol",'Lleoliadau Cyflwyno'!$I:$I,"Ie")</f>
        <v>0</v>
      </c>
      <c r="D1215" s="102">
        <f t="shared" si="724"/>
        <v>1</v>
      </c>
      <c r="E1215" s="14"/>
      <c r="F1215" s="14"/>
      <c r="G1215" s="14"/>
      <c r="H1215" s="14"/>
      <c r="I1215" s="14"/>
      <c r="J1215" s="14"/>
      <c r="K1215" s="100"/>
      <c r="L1215" s="102">
        <f t="shared" si="718"/>
        <v>1</v>
      </c>
      <c r="M1215" s="102" t="str">
        <f t="shared" ref="M1215" si="732">IF(C1214&lt;=C1215,"ok","wrong")</f>
        <v>ok</v>
      </c>
    </row>
    <row r="1216" spans="1:13" ht="29">
      <c r="A1216" s="128"/>
      <c r="B1216" s="131" t="s">
        <v>852</v>
      </c>
      <c r="C1216" s="129">
        <f>COUNTIFS('Lleoliadau Cyflwyno'!$L:$L,"Do",'Lleoliadau Cyflwyno'!$D:$D,"Proffesiynol",'Lleoliadau Cyflwyno'!$J:$J,"Ie")</f>
        <v>0</v>
      </c>
      <c r="D1216" s="102">
        <f t="shared" si="724"/>
        <v>1</v>
      </c>
      <c r="E1216" s="14"/>
      <c r="F1216" s="14"/>
      <c r="G1216" s="14"/>
      <c r="H1216" s="14"/>
      <c r="I1216" s="14"/>
      <c r="J1216" s="14"/>
      <c r="K1216" s="100"/>
      <c r="L1216" s="102">
        <f t="shared" si="718"/>
        <v>1</v>
      </c>
      <c r="M1216" s="102" t="str">
        <f t="shared" ref="M1216:M1217" si="733">IF(AND(C1216&gt;=0.1,SUM(C1217)&gt;=C1216),"ok",IF(AND(C1216=0,SUM(C1217)=0),"ok",IF(AND(C1216&gt;0.1,SUM(C1217)=0),"wrong",IF(AND(C1216=0,SUM(C1217)&gt;0.1),"wrong"))))</f>
        <v>ok</v>
      </c>
    </row>
    <row r="1217" spans="1:13" ht="43.5">
      <c r="A1217" s="128"/>
      <c r="B1217" s="131" t="s">
        <v>853</v>
      </c>
      <c r="C1217" s="129">
        <f>SUMIFS('Lleoliadau Cyflwyno'!$M:$M,'Lleoliadau Cyflwyno'!$L:$L,"Do",'Lleoliadau Cyflwyno'!$D:$D,"Proffesiynol",'Lleoliadau Cyflwyno'!$J:$J,"Ie")</f>
        <v>0</v>
      </c>
      <c r="D1217" s="102">
        <f t="shared" si="724"/>
        <v>1</v>
      </c>
      <c r="E1217" s="14"/>
      <c r="F1217" s="14"/>
      <c r="G1217" s="14"/>
      <c r="H1217" s="14"/>
      <c r="I1217" s="14"/>
      <c r="J1217" s="14"/>
      <c r="K1217" s="100"/>
      <c r="L1217" s="102">
        <f t="shared" si="718"/>
        <v>1</v>
      </c>
      <c r="M1217" s="102" t="str">
        <f t="shared" si="733"/>
        <v>ok</v>
      </c>
    </row>
    <row r="1218" spans="1:13" ht="43.5">
      <c r="A1218" s="128"/>
      <c r="B1218" s="131" t="s">
        <v>854</v>
      </c>
      <c r="C1218" s="129">
        <f>SUMIFS('Lleoliadau Cyflwyno'!$N:$N,'Lleoliadau Cyflwyno'!$L:$L,"Do",'Lleoliadau Cyflwyno'!$D:$D,"Proffesiynol",'Lleoliadau Cyflwyno'!$J:$J,"Ie")</f>
        <v>0</v>
      </c>
      <c r="D1218" s="102">
        <f t="shared" si="724"/>
        <v>1</v>
      </c>
      <c r="E1218" s="14"/>
      <c r="F1218" s="14"/>
      <c r="G1218" s="14"/>
      <c r="H1218" s="14"/>
      <c r="I1218" s="14"/>
      <c r="J1218" s="14"/>
      <c r="K1218" s="100"/>
      <c r="L1218" s="102">
        <f t="shared" si="718"/>
        <v>1</v>
      </c>
      <c r="M1218" s="102" t="str">
        <f t="shared" ref="M1218" si="734">IF(C1217&lt;=C1218,"ok","wrong")</f>
        <v>ok</v>
      </c>
    </row>
    <row r="1219" spans="1:13" ht="43.5">
      <c r="A1219" s="128"/>
      <c r="B1219" s="131" t="s">
        <v>855</v>
      </c>
      <c r="C1219" s="129">
        <f>COUNTIFS('Lleoliadau Cyflwyno'!$L:$L,"Do",'Lleoliadau Cyflwyno'!$D:$D,"Proffesiynol",'Lleoliadau Cyflwyno'!$K:$K,"Ie")</f>
        <v>0</v>
      </c>
      <c r="D1219" s="102">
        <f t="shared" si="724"/>
        <v>1</v>
      </c>
      <c r="E1219" s="14"/>
      <c r="F1219" s="14"/>
      <c r="G1219" s="14"/>
      <c r="H1219" s="14"/>
      <c r="I1219" s="14"/>
      <c r="J1219" s="14"/>
      <c r="K1219" s="100"/>
      <c r="L1219" s="102">
        <f t="shared" si="718"/>
        <v>1</v>
      </c>
      <c r="M1219" s="102" t="str">
        <f t="shared" ref="M1219:M1220" si="735">IF(AND(C1219&gt;=0.1,SUM(C1220)&gt;=C1219),"ok",IF(AND(C1219=0,SUM(C1220)=0),"ok",IF(AND(C1219&gt;0.1,SUM(C1220)=0),"wrong",IF(AND(C1219=0,SUM(C1220)&gt;0.1),"wrong"))))</f>
        <v>ok</v>
      </c>
    </row>
    <row r="1220" spans="1:13" ht="43.5">
      <c r="A1220" s="128"/>
      <c r="B1220" s="131" t="s">
        <v>856</v>
      </c>
      <c r="C1220" s="129">
        <f>SUMIFS('Lleoliadau Cyflwyno'!$M:$M,'Lleoliadau Cyflwyno'!$L:$L,"Do",'Lleoliadau Cyflwyno'!$D:$D,"Proffesiynol",'Lleoliadau Cyflwyno'!$K:$K,"Ie")</f>
        <v>0</v>
      </c>
      <c r="D1220" s="102">
        <f t="shared" si="724"/>
        <v>1</v>
      </c>
      <c r="E1220" s="14"/>
      <c r="F1220" s="14"/>
      <c r="G1220" s="14"/>
      <c r="H1220" s="14"/>
      <c r="I1220" s="14"/>
      <c r="J1220" s="14"/>
      <c r="K1220" s="100"/>
      <c r="L1220" s="102">
        <f t="shared" si="718"/>
        <v>1</v>
      </c>
      <c r="M1220" s="102" t="str">
        <f t="shared" si="735"/>
        <v>ok</v>
      </c>
    </row>
    <row r="1221" spans="1:13" ht="43.5">
      <c r="A1221" s="128"/>
      <c r="B1221" s="131" t="s">
        <v>857</v>
      </c>
      <c r="C1221" s="129">
        <f>SUMIFS('Lleoliadau Cyflwyno'!$N:$N,'Lleoliadau Cyflwyno'!$L:$L,"Do",'Lleoliadau Cyflwyno'!$D:$D,"Proffesiynol",'Lleoliadau Cyflwyno'!$K:$K,"Ie")</f>
        <v>0</v>
      </c>
      <c r="D1221" s="102">
        <f t="shared" si="724"/>
        <v>1</v>
      </c>
      <c r="E1221" s="14"/>
      <c r="F1221" s="14"/>
      <c r="G1221" s="14"/>
      <c r="H1221" s="14"/>
      <c r="I1221" s="14"/>
      <c r="J1221" s="14"/>
      <c r="K1221" s="100"/>
      <c r="L1221" s="102">
        <f t="shared" si="718"/>
        <v>1</v>
      </c>
      <c r="M1221" s="102" t="str">
        <f t="shared" ref="M1221" si="736">IF(C1220&lt;=C1221,"ok","wrong")</f>
        <v>ok</v>
      </c>
    </row>
    <row r="1222" spans="1:13">
      <c r="A1222" s="128" t="s">
        <v>683</v>
      </c>
      <c r="B1222" s="131" t="s">
        <v>684</v>
      </c>
      <c r="C1222" s="129">
        <f>COUNTIF('Lleoliadau Cyflwyno'!O:O,"Do")</f>
        <v>0</v>
      </c>
      <c r="D1222" s="14"/>
      <c r="E1222" s="14"/>
      <c r="F1222" s="14"/>
      <c r="G1222" s="14"/>
      <c r="H1222" s="14"/>
      <c r="I1222" s="14"/>
      <c r="J1222" s="14"/>
      <c r="K1222" s="100"/>
      <c r="L1222" s="102"/>
      <c r="M1222" s="102"/>
    </row>
    <row r="1223" spans="1:13">
      <c r="A1223" s="128"/>
      <c r="B1223" s="131" t="s">
        <v>685</v>
      </c>
      <c r="C1223" s="129">
        <f>COUNTIF('Lleoliadau Cyflwyno'!P:P,"Do")</f>
        <v>0</v>
      </c>
      <c r="D1223" s="14"/>
      <c r="E1223" s="14"/>
      <c r="F1223" s="14"/>
      <c r="G1223" s="14"/>
      <c r="H1223" s="14"/>
      <c r="I1223" s="14"/>
      <c r="J1223" s="14"/>
      <c r="K1223" s="100"/>
      <c r="L1223" s="102"/>
      <c r="M1223" s="102"/>
    </row>
    <row r="1224" spans="1:13">
      <c r="A1224" s="128"/>
      <c r="B1224" s="131" t="s">
        <v>686</v>
      </c>
      <c r="C1224" s="129">
        <f>COUNTIF('Lleoliadau Cyflwyno'!Q:Q,"Do")</f>
        <v>0</v>
      </c>
      <c r="D1224" s="14"/>
      <c r="E1224" s="14"/>
      <c r="F1224" s="14"/>
      <c r="G1224" s="14"/>
      <c r="H1224" s="14"/>
      <c r="I1224" s="14"/>
      <c r="J1224" s="14"/>
      <c r="K1224" s="100"/>
      <c r="L1224" s="102"/>
      <c r="M1224" s="102"/>
    </row>
    <row r="1225" spans="1:13">
      <c r="A1225" s="128"/>
      <c r="B1225" s="131" t="s">
        <v>170</v>
      </c>
      <c r="C1225" s="129">
        <f>COUNTIF('Lleoliadau Cyflwyno'!R:R,"Do")</f>
        <v>0</v>
      </c>
      <c r="D1225" s="14"/>
      <c r="E1225" s="14"/>
      <c r="F1225" s="14"/>
      <c r="G1225" s="14"/>
      <c r="H1225" s="14"/>
      <c r="I1225" s="14"/>
      <c r="J1225" s="14"/>
      <c r="K1225" s="100"/>
      <c r="L1225" s="102"/>
      <c r="M1225" s="102"/>
    </row>
    <row r="1226" spans="1:13">
      <c r="A1226" s="128" t="s">
        <v>858</v>
      </c>
      <c r="B1226" s="131" t="s">
        <v>491</v>
      </c>
      <c r="C1226" s="129">
        <f>COUNTIF('Lleoliadau Cyflwyno'!S:S,"Do")</f>
        <v>0</v>
      </c>
      <c r="D1226" s="14"/>
      <c r="E1226" s="14"/>
      <c r="F1226" s="14"/>
      <c r="G1226" s="14"/>
      <c r="H1226" s="14"/>
      <c r="I1226" s="14"/>
      <c r="J1226" s="14"/>
      <c r="K1226" s="100"/>
      <c r="L1226" s="102"/>
      <c r="M1226" s="102"/>
    </row>
    <row r="1227" spans="1:13">
      <c r="A1227" s="128"/>
      <c r="B1227" s="131" t="s">
        <v>585</v>
      </c>
      <c r="C1227" s="129">
        <f>COUNTIF('Lleoliadau Cyflwyno'!T:T,"Do")</f>
        <v>0</v>
      </c>
      <c r="D1227" s="14"/>
      <c r="E1227" s="14"/>
      <c r="F1227" s="14"/>
      <c r="G1227" s="14"/>
      <c r="H1227" s="14"/>
      <c r="I1227" s="14"/>
      <c r="J1227" s="14"/>
      <c r="K1227" s="100"/>
      <c r="L1227" s="102"/>
      <c r="M1227" s="102"/>
    </row>
    <row r="1228" spans="1:13">
      <c r="A1228" s="128"/>
      <c r="B1228" s="131" t="s">
        <v>90</v>
      </c>
      <c r="C1228" s="129">
        <f>COUNTIF('Lleoliadau Cyflwyno'!U:U,"Do")</f>
        <v>0</v>
      </c>
      <c r="D1228" s="14"/>
      <c r="E1228" s="14"/>
      <c r="F1228" s="14"/>
      <c r="G1228" s="14"/>
      <c r="H1228" s="14"/>
      <c r="I1228" s="14"/>
      <c r="J1228" s="14"/>
      <c r="K1228" s="100"/>
      <c r="L1228" s="102"/>
      <c r="M1228" s="102"/>
    </row>
    <row r="1229" spans="1:13">
      <c r="A1229" s="128"/>
      <c r="B1229" s="131" t="s">
        <v>586</v>
      </c>
      <c r="C1229" s="129">
        <f>COUNTIF('Lleoliadau Cyflwyno'!V:V,"Do")</f>
        <v>0</v>
      </c>
      <c r="D1229" s="14"/>
      <c r="E1229" s="14"/>
      <c r="F1229" s="14"/>
      <c r="G1229" s="14"/>
      <c r="H1229" s="14"/>
      <c r="I1229" s="14"/>
      <c r="J1229" s="14"/>
      <c r="K1229" s="100"/>
      <c r="L1229" s="102"/>
      <c r="M1229" s="102"/>
    </row>
    <row r="1230" spans="1:13">
      <c r="A1230" s="128"/>
      <c r="B1230" s="131" t="s">
        <v>587</v>
      </c>
      <c r="C1230" s="129">
        <f>COUNTIF('Lleoliadau Cyflwyno'!W:W,"Do")</f>
        <v>0</v>
      </c>
      <c r="D1230" s="14"/>
      <c r="E1230" s="14"/>
      <c r="F1230" s="14"/>
      <c r="G1230" s="14"/>
      <c r="H1230" s="14"/>
      <c r="I1230" s="14"/>
      <c r="J1230" s="14"/>
      <c r="K1230" s="100"/>
      <c r="L1230" s="102"/>
      <c r="M1230" s="102"/>
    </row>
    <row r="1231" spans="1:13">
      <c r="A1231" s="128"/>
      <c r="B1231" s="131" t="s">
        <v>588</v>
      </c>
      <c r="C1231" s="129">
        <f>COUNTIF('Lleoliadau Cyflwyno'!X:X,"Do")</f>
        <v>0</v>
      </c>
      <c r="D1231" s="14"/>
      <c r="E1231" s="14"/>
      <c r="F1231" s="14"/>
      <c r="G1231" s="14"/>
      <c r="H1231" s="14"/>
      <c r="I1231" s="14"/>
      <c r="J1231" s="14"/>
      <c r="K1231" s="100"/>
      <c r="L1231" s="102"/>
      <c r="M1231" s="102"/>
    </row>
    <row r="1232" spans="1:13">
      <c r="A1232" s="128"/>
      <c r="B1232" s="131" t="s">
        <v>589</v>
      </c>
      <c r="C1232" s="129">
        <f>COUNTIF('Lleoliadau Cyflwyno'!Y:Y,"Do")</f>
        <v>0</v>
      </c>
      <c r="D1232" s="14"/>
      <c r="E1232" s="14"/>
      <c r="F1232" s="14"/>
      <c r="G1232" s="14"/>
      <c r="H1232" s="14"/>
      <c r="I1232" s="14"/>
      <c r="J1232" s="14"/>
      <c r="K1232" s="100"/>
      <c r="L1232" s="102"/>
      <c r="M1232" s="102"/>
    </row>
    <row r="1233" spans="1:13">
      <c r="A1233" s="128"/>
      <c r="B1233" s="131" t="s">
        <v>590</v>
      </c>
      <c r="C1233" s="129">
        <f>COUNTIF('Lleoliadau Cyflwyno'!Z:Z,"Do")</f>
        <v>0</v>
      </c>
      <c r="D1233" s="14"/>
      <c r="E1233" s="14"/>
      <c r="F1233" s="14"/>
      <c r="G1233" s="14"/>
      <c r="H1233" s="14"/>
      <c r="I1233" s="14"/>
      <c r="J1233" s="14"/>
      <c r="K1233" s="100"/>
      <c r="L1233" s="102"/>
      <c r="M1233" s="102"/>
    </row>
    <row r="1234" spans="1:13">
      <c r="A1234" s="128"/>
      <c r="B1234" s="131" t="s">
        <v>96</v>
      </c>
      <c r="C1234" s="129">
        <f>COUNTIF('Lleoliadau Cyflwyno'!AA:AA,"Do")</f>
        <v>0</v>
      </c>
      <c r="D1234" s="14"/>
      <c r="E1234" s="14"/>
      <c r="F1234" s="14"/>
      <c r="G1234" s="14"/>
      <c r="H1234" s="14"/>
      <c r="I1234" s="14"/>
      <c r="J1234" s="14"/>
      <c r="K1234" s="100"/>
      <c r="L1234" s="102"/>
      <c r="M1234" s="102"/>
    </row>
    <row r="1235" spans="1:13">
      <c r="A1235" s="128"/>
      <c r="B1235" s="131" t="s">
        <v>97</v>
      </c>
      <c r="C1235" s="129">
        <f>COUNTIF('Lleoliadau Cyflwyno'!AB:AB,"Do")</f>
        <v>0</v>
      </c>
      <c r="D1235" s="14"/>
      <c r="E1235" s="14"/>
      <c r="F1235" s="14"/>
      <c r="G1235" s="14"/>
      <c r="H1235" s="14"/>
      <c r="I1235" s="14"/>
      <c r="J1235" s="14"/>
      <c r="K1235" s="100"/>
      <c r="L1235" s="102"/>
      <c r="M1235" s="102"/>
    </row>
    <row r="1236" spans="1:13">
      <c r="A1236" s="128" t="s">
        <v>858</v>
      </c>
      <c r="B1236" s="131" t="s">
        <v>593</v>
      </c>
      <c r="C1236" s="129">
        <f>COUNTIF('Lleoliadau Cyflwyno'!AC:AC,"Do")</f>
        <v>0</v>
      </c>
      <c r="D1236" s="14"/>
      <c r="E1236" s="14"/>
      <c r="F1236" s="14"/>
      <c r="G1236" s="14"/>
      <c r="H1236" s="14"/>
      <c r="I1236" s="14"/>
      <c r="J1236" s="14"/>
      <c r="K1236" s="100"/>
      <c r="L1236" s="102"/>
      <c r="M1236" s="102"/>
    </row>
    <row r="1237" spans="1:13">
      <c r="A1237" s="128"/>
      <c r="B1237" s="131" t="s">
        <v>594</v>
      </c>
      <c r="C1237" s="129">
        <f>COUNTIF('Lleoliadau Cyflwyno'!AD:AD,"Do")</f>
        <v>0</v>
      </c>
      <c r="D1237" s="14"/>
      <c r="E1237" s="14"/>
      <c r="F1237" s="14"/>
      <c r="G1237" s="14"/>
      <c r="H1237" s="14"/>
      <c r="I1237" s="14"/>
      <c r="J1237" s="14"/>
      <c r="K1237" s="100"/>
      <c r="L1237" s="102"/>
      <c r="M1237" s="102"/>
    </row>
    <row r="1238" spans="1:13">
      <c r="A1238" s="128"/>
      <c r="B1238" s="131" t="s">
        <v>595</v>
      </c>
      <c r="C1238" s="129">
        <f>COUNTIF('Lleoliadau Cyflwyno'!AE:AE,"Do")</f>
        <v>0</v>
      </c>
      <c r="D1238" s="14"/>
      <c r="E1238" s="14"/>
      <c r="F1238" s="14"/>
      <c r="G1238" s="14"/>
      <c r="H1238" s="14"/>
      <c r="I1238" s="14"/>
      <c r="J1238" s="14"/>
      <c r="K1238" s="100"/>
      <c r="L1238" s="102"/>
      <c r="M1238" s="102"/>
    </row>
    <row r="1239" spans="1:13">
      <c r="A1239" s="128"/>
      <c r="B1239" s="131" t="s">
        <v>596</v>
      </c>
      <c r="C1239" s="129">
        <f>COUNTIF('Lleoliadau Cyflwyno'!AF:AF,"Do")</f>
        <v>0</v>
      </c>
      <c r="D1239" s="14"/>
      <c r="E1239" s="14"/>
      <c r="F1239" s="14"/>
      <c r="G1239" s="14"/>
      <c r="H1239" s="14"/>
      <c r="I1239" s="14"/>
      <c r="J1239" s="14"/>
      <c r="K1239" s="100"/>
      <c r="L1239" s="102"/>
      <c r="M1239" s="102"/>
    </row>
    <row r="1240" spans="1:13">
      <c r="A1240" s="128"/>
      <c r="B1240" s="131" t="s">
        <v>597</v>
      </c>
      <c r="C1240" s="129">
        <f>COUNTIF('Lleoliadau Cyflwyno'!AG:AG,"Do")</f>
        <v>0</v>
      </c>
      <c r="D1240" s="14"/>
      <c r="E1240" s="14"/>
      <c r="F1240" s="14"/>
      <c r="G1240" s="14"/>
      <c r="H1240" s="14"/>
      <c r="I1240" s="14"/>
      <c r="J1240" s="14"/>
      <c r="K1240" s="100"/>
      <c r="L1240" s="102"/>
      <c r="M1240" s="102"/>
    </row>
    <row r="1241" spans="1:13" ht="29">
      <c r="A1241" s="128"/>
      <c r="B1241" s="131" t="s">
        <v>598</v>
      </c>
      <c r="C1241" s="129">
        <f>COUNTIF('Lleoliadau Cyflwyno'!AH:AH,"Do")</f>
        <v>0</v>
      </c>
      <c r="D1241" s="14"/>
      <c r="E1241" s="14"/>
      <c r="F1241" s="14"/>
      <c r="G1241" s="14"/>
      <c r="H1241" s="14"/>
      <c r="I1241" s="14"/>
      <c r="J1241" s="14"/>
      <c r="K1241" s="100"/>
      <c r="L1241" s="102"/>
      <c r="M1241" s="102"/>
    </row>
    <row r="1242" spans="1:13" ht="16">
      <c r="A1242" s="90"/>
      <c r="B1242" s="90"/>
      <c r="C1242" s="90"/>
      <c r="D1242" s="102"/>
      <c r="E1242" s="14"/>
      <c r="F1242" s="14"/>
      <c r="G1242" s="14"/>
      <c r="H1242" s="14"/>
      <c r="I1242" s="14"/>
      <c r="J1242" s="14"/>
      <c r="K1242" s="100"/>
      <c r="L1242" s="102"/>
      <c r="M1242" s="102"/>
    </row>
    <row r="1243" spans="1:13">
      <c r="A1243" s="133" t="s">
        <v>519</v>
      </c>
      <c r="B1243" s="133"/>
      <c r="C1243" s="133"/>
      <c r="D1243" s="14"/>
      <c r="E1243" s="14"/>
      <c r="F1243" s="14"/>
      <c r="G1243" s="14"/>
      <c r="H1243" s="14"/>
      <c r="I1243" s="14"/>
      <c r="J1243" s="14"/>
      <c r="K1243" s="100"/>
      <c r="L1243" s="102"/>
      <c r="M1243" s="102"/>
    </row>
    <row r="1244" spans="1:13">
      <c r="A1244" s="133"/>
      <c r="B1244" s="133"/>
      <c r="C1244" s="133"/>
      <c r="D1244" s="14"/>
      <c r="E1244" s="14"/>
      <c r="F1244" s="14"/>
      <c r="G1244" s="14"/>
      <c r="H1244" s="14"/>
      <c r="I1244" s="14"/>
      <c r="J1244" s="14"/>
      <c r="K1244" s="100"/>
      <c r="L1244" s="102"/>
      <c r="M1244" s="102"/>
    </row>
    <row r="1245" spans="1:13">
      <c r="A1245" s="133" t="s">
        <v>523</v>
      </c>
      <c r="B1245" s="133" t="s">
        <v>599</v>
      </c>
      <c r="C1245" s="134">
        <f>SUMIF('Hyfforddiant &amp; Gweithdai'!D4:D9999,"Sesiwn ddigidol fyw",'Hyfforddiant &amp; Gweithdai'!F4:F9999)</f>
        <v>0</v>
      </c>
      <c r="D1245" s="158">
        <f>L1245</f>
        <v>1</v>
      </c>
      <c r="E1245" s="14"/>
      <c r="F1245" s="14"/>
      <c r="G1245" s="14"/>
      <c r="H1245" s="14"/>
      <c r="I1245" s="14"/>
      <c r="J1245" s="14"/>
      <c r="K1245" s="100"/>
      <c r="L1245" s="102">
        <f t="shared" ref="L1245:L1295" si="737">IF(M1245="ok",1,0)</f>
        <v>1</v>
      </c>
      <c r="M1245" s="102" t="str">
        <f t="shared" ref="M1245:M1249" si="738">IF(AND(C1245&gt;=0.1,SUM(C1246)&gt;=C1245),"ok",IF(AND(C1245=0,SUM(C1246)=0),"ok",IF(AND(C1245&gt;0.1,SUM(C1246)=0),"wrong",IF(AND(C1245=0,SUM(C1246)&gt;0.1),"wrong"))))</f>
        <v>ok</v>
      </c>
    </row>
    <row r="1246" spans="1:13">
      <c r="A1246" s="133"/>
      <c r="B1246" s="133" t="s">
        <v>600</v>
      </c>
      <c r="C1246" s="134">
        <f>SUMIF('Hyfforddiant &amp; Gweithdai'!D4:D9999,"Sesiwn ddigidol fyw",'Hyfforddiant &amp; Gweithdai'!G4:G9999)</f>
        <v>0</v>
      </c>
      <c r="D1246" s="158">
        <f t="shared" ref="D1246:D1295" si="739">L1246</f>
        <v>1</v>
      </c>
      <c r="E1246" s="14"/>
      <c r="F1246" s="14"/>
      <c r="G1246" s="14"/>
      <c r="H1246" s="14"/>
      <c r="I1246" s="14"/>
      <c r="J1246" s="14"/>
      <c r="K1246" s="100"/>
      <c r="L1246" s="102">
        <f t="shared" si="737"/>
        <v>1</v>
      </c>
      <c r="M1246" s="102" t="str">
        <f t="shared" ref="M1246:M1250" si="740">IF(C1245&lt;=C1246,"ok","wrong")</f>
        <v>ok</v>
      </c>
    </row>
    <row r="1247" spans="1:13">
      <c r="A1247" s="133"/>
      <c r="B1247" s="133" t="s">
        <v>601</v>
      </c>
      <c r="C1247" s="134">
        <f>SUMIF('Hyfforddiant &amp; Gweithdai'!D4:D9999,"sesiwn ddigidol wedi'i recordio ymlaen llawn",'Hyfforddiant &amp; Gweithdai'!F4:F9999)</f>
        <v>0</v>
      </c>
      <c r="D1247" s="158">
        <f t="shared" si="739"/>
        <v>1</v>
      </c>
      <c r="E1247" s="14"/>
      <c r="F1247" s="14"/>
      <c r="G1247" s="14"/>
      <c r="H1247" s="14"/>
      <c r="I1247" s="14"/>
      <c r="J1247" s="14"/>
      <c r="K1247" s="100"/>
      <c r="L1247" s="102">
        <f t="shared" si="737"/>
        <v>1</v>
      </c>
      <c r="M1247" s="102" t="str">
        <f t="shared" si="738"/>
        <v>ok</v>
      </c>
    </row>
    <row r="1248" spans="1:13">
      <c r="A1248" s="133"/>
      <c r="B1248" s="133" t="s">
        <v>602</v>
      </c>
      <c r="C1248" s="134">
        <f>SUMIF('Hyfforddiant &amp; Gweithdai'!D4:D9999,"sesiwn ddigidol wedi'i recordio ymlaen llaw",'Hyfforddiant &amp; Gweithdai'!G4:G9999)</f>
        <v>0</v>
      </c>
      <c r="D1248" s="158">
        <f t="shared" si="739"/>
        <v>1</v>
      </c>
      <c r="E1248" s="14"/>
      <c r="F1248" s="14"/>
      <c r="G1248" s="14"/>
      <c r="H1248" s="14"/>
      <c r="I1248" s="14"/>
      <c r="J1248" s="14"/>
      <c r="K1248" s="100"/>
      <c r="L1248" s="102">
        <f t="shared" si="737"/>
        <v>1</v>
      </c>
      <c r="M1248" s="102" t="str">
        <f t="shared" si="740"/>
        <v>ok</v>
      </c>
    </row>
    <row r="1249" spans="1:13">
      <c r="A1249" s="133"/>
      <c r="B1249" s="133" t="s">
        <v>859</v>
      </c>
      <c r="C1249" s="134">
        <f>SUMIF('Hyfforddiant &amp; Gweithdai'!D4:D9999,"sesiwn wyneb yn wyneb",'Hyfforddiant &amp; Gweithdai'!F4:F9999)</f>
        <v>0</v>
      </c>
      <c r="D1249" s="158">
        <f t="shared" si="739"/>
        <v>1</v>
      </c>
      <c r="E1249" s="14"/>
      <c r="F1249" s="14"/>
      <c r="G1249" s="14"/>
      <c r="H1249" s="14"/>
      <c r="I1249" s="14"/>
      <c r="J1249" s="14"/>
      <c r="K1249" s="100"/>
      <c r="L1249" s="102">
        <f t="shared" si="737"/>
        <v>1</v>
      </c>
      <c r="M1249" s="102" t="str">
        <f t="shared" si="738"/>
        <v>ok</v>
      </c>
    </row>
    <row r="1250" spans="1:13">
      <c r="A1250" s="133"/>
      <c r="B1250" s="133" t="s">
        <v>604</v>
      </c>
      <c r="C1250" s="134">
        <f>SUMIF('Hyfforddiant &amp; Gweithdai'!D4:D9999,"sesiwn wyneb yn wyneb",'Hyfforddiant &amp; Gweithdai'!G4:G9999)</f>
        <v>0</v>
      </c>
      <c r="D1250" s="158">
        <f t="shared" si="739"/>
        <v>1</v>
      </c>
      <c r="E1250" s="14"/>
      <c r="F1250" s="14"/>
      <c r="G1250" s="14"/>
      <c r="H1250" s="14"/>
      <c r="I1250" s="14"/>
      <c r="J1250" s="14"/>
      <c r="K1250" s="100"/>
      <c r="L1250" s="102">
        <f t="shared" si="737"/>
        <v>1</v>
      </c>
      <c r="M1250" s="102" t="str">
        <f t="shared" si="740"/>
        <v>ok</v>
      </c>
    </row>
    <row r="1251" spans="1:13">
      <c r="A1251" s="133" t="s">
        <v>628</v>
      </c>
      <c r="B1251" s="133" t="s">
        <v>860</v>
      </c>
      <c r="C1251" s="134">
        <f>COUNTIFS('Hyfforddiant &amp; Gweithdai'!$B:$B,"Hyfforddiant/Gweithdy",'Hyfforddiant &amp; Gweithdai'!$E:$E,"Saesneg")</f>
        <v>0</v>
      </c>
      <c r="D1251" s="102">
        <f t="shared" si="739"/>
        <v>1</v>
      </c>
      <c r="E1251" s="14"/>
      <c r="F1251" s="14"/>
      <c r="G1251" s="14"/>
      <c r="H1251" s="14"/>
      <c r="I1251" s="14"/>
      <c r="J1251" s="14"/>
      <c r="K1251" s="100"/>
      <c r="L1251" s="102">
        <f t="shared" si="737"/>
        <v>1</v>
      </c>
      <c r="M1251" s="102" t="str">
        <f>IF(AND(C1251&gt;=0.1,SUM(C1252)&gt;=C1251),"ok",IF(AND(C1251=0,SUM(C1252)=0),"ok",IF(AND(C1251&gt;0.1,SUM(C1252)=0),"wrong",IF(AND(C1251=0,SUM(C1252)&gt;0.1),"wrong"))))</f>
        <v>ok</v>
      </c>
    </row>
    <row r="1252" spans="1:13">
      <c r="A1252" s="133"/>
      <c r="B1252" s="133" t="s">
        <v>861</v>
      </c>
      <c r="C1252" s="134">
        <f>SUMIFS('Hyfforddiant &amp; Gweithdai'!$F:$F,'Hyfforddiant &amp; Gweithdai'!$B:$B,"Hyfforddiant/Gweithdy",'Hyfforddiant &amp; Gweithdai'!$E:$E,"Saesneg")</f>
        <v>0</v>
      </c>
      <c r="D1252" s="102">
        <f t="shared" si="739"/>
        <v>1</v>
      </c>
      <c r="E1252" s="14"/>
      <c r="F1252" s="14"/>
      <c r="G1252" s="14"/>
      <c r="H1252" s="14"/>
      <c r="I1252" s="14"/>
      <c r="J1252" s="14"/>
      <c r="K1252" s="100"/>
      <c r="L1252" s="102">
        <f t="shared" si="737"/>
        <v>1</v>
      </c>
      <c r="M1252" s="102" t="str">
        <f t="shared" ref="M1252" si="741">IF(AND(C1252&gt;=0.1,SUM(C1253)&gt;=C1252),"ok",IF(AND(C1252=0,SUM(C1253)=0),"ok",IF(AND(C1252&gt;0.1,SUM(C1253)=0),"wrong",IF(AND(C1252=0,SUM(C1253)&gt;0.1),"wrong"))))</f>
        <v>ok</v>
      </c>
    </row>
    <row r="1253" spans="1:13">
      <c r="A1253" s="133"/>
      <c r="B1253" s="133" t="s">
        <v>862</v>
      </c>
      <c r="C1253" s="134">
        <f>SUMIFS('Hyfforddiant &amp; Gweithdai'!$G:$G,'Hyfforddiant &amp; Gweithdai'!$B:$B,"Hyfforddiant/Gweithdy",'Hyfforddiant &amp; Gweithdai'!$E:$E,"Saesneg")</f>
        <v>0</v>
      </c>
      <c r="D1253" s="102">
        <f t="shared" si="739"/>
        <v>1</v>
      </c>
      <c r="E1253" s="14"/>
      <c r="F1253" s="14"/>
      <c r="G1253" s="14"/>
      <c r="H1253" s="14"/>
      <c r="I1253" s="14"/>
      <c r="J1253" s="14"/>
      <c r="K1253" s="100"/>
      <c r="L1253" s="102">
        <f t="shared" si="737"/>
        <v>1</v>
      </c>
      <c r="M1253" s="102" t="str">
        <f t="shared" ref="M1253" si="742">IF(C1252&lt;=C1253,"ok","wrong")</f>
        <v>ok</v>
      </c>
    </row>
    <row r="1254" spans="1:13">
      <c r="A1254" s="133"/>
      <c r="B1254" s="133" t="s">
        <v>863</v>
      </c>
      <c r="C1254" s="134">
        <f>COUNTIFS('Hyfforddiant &amp; Gweithdai'!$B:$B,"Hyfforddiant/Gweithdy",'Hyfforddiant &amp; Gweithdai'!$E:$E,"Cymraeg")</f>
        <v>0</v>
      </c>
      <c r="D1254" s="102">
        <f t="shared" si="739"/>
        <v>1</v>
      </c>
      <c r="E1254" s="14"/>
      <c r="F1254" s="14"/>
      <c r="G1254" s="14"/>
      <c r="H1254" s="14"/>
      <c r="I1254" s="14"/>
      <c r="J1254" s="14"/>
      <c r="K1254" s="100"/>
      <c r="L1254" s="102">
        <f t="shared" si="737"/>
        <v>1</v>
      </c>
      <c r="M1254" s="102" t="str">
        <f t="shared" ref="M1254:M1255" si="743">IF(AND(C1254&gt;=0.1,SUM(C1255)&gt;=C1254),"ok",IF(AND(C1254=0,SUM(C1255)=0),"ok",IF(AND(C1254&gt;0.1,SUM(C1255)=0),"wrong",IF(AND(C1254=0,SUM(C1255)&gt;0.1),"wrong"))))</f>
        <v>ok</v>
      </c>
    </row>
    <row r="1255" spans="1:13">
      <c r="A1255" s="133"/>
      <c r="B1255" s="133" t="s">
        <v>864</v>
      </c>
      <c r="C1255" s="134">
        <f>SUMIFS('Hyfforddiant &amp; Gweithdai'!$F:$F,'Hyfforddiant &amp; Gweithdai'!$B:$B,"Hyfforddiant/Gweithdy",'Hyfforddiant &amp; Gweithdai'!$E:$E,"Cymraeg")</f>
        <v>0</v>
      </c>
      <c r="D1255" s="102">
        <f t="shared" si="739"/>
        <v>1</v>
      </c>
      <c r="E1255" s="14"/>
      <c r="F1255" s="14"/>
      <c r="G1255" s="14"/>
      <c r="H1255" s="14"/>
      <c r="I1255" s="14"/>
      <c r="J1255" s="14"/>
      <c r="K1255" s="100"/>
      <c r="L1255" s="102">
        <f t="shared" si="737"/>
        <v>1</v>
      </c>
      <c r="M1255" s="102" t="str">
        <f t="shared" si="743"/>
        <v>ok</v>
      </c>
    </row>
    <row r="1256" spans="1:13">
      <c r="A1256" s="133"/>
      <c r="B1256" s="133" t="s">
        <v>865</v>
      </c>
      <c r="C1256" s="134">
        <f>SUMIFS('Hyfforddiant &amp; Gweithdai'!$G:$G,'Hyfforddiant &amp; Gweithdai'!$B:$B,"Hyfforddiant/Gweithdy",'Hyfforddiant &amp; Gweithdai'!$E:$E,"Cymraeg")</f>
        <v>0</v>
      </c>
      <c r="D1256" s="102">
        <f t="shared" si="739"/>
        <v>1</v>
      </c>
      <c r="E1256" s="14"/>
      <c r="F1256" s="14"/>
      <c r="G1256" s="14"/>
      <c r="H1256" s="14"/>
      <c r="I1256" s="14"/>
      <c r="J1256" s="14"/>
      <c r="K1256" s="100"/>
      <c r="L1256" s="102">
        <f t="shared" si="737"/>
        <v>1</v>
      </c>
      <c r="M1256" s="102" t="str">
        <f t="shared" ref="M1256" si="744">IF(C1255&lt;=C1256,"ok","wrong")</f>
        <v>ok</v>
      </c>
    </row>
    <row r="1257" spans="1:13">
      <c r="A1257" s="133"/>
      <c r="B1257" s="133" t="s">
        <v>866</v>
      </c>
      <c r="C1257" s="134">
        <f>COUNTIFS('Hyfforddiant &amp; Gweithdai'!$B:$B,"Hyfforddiant/Gweithdy",'Hyfforddiant &amp; Gweithdai'!$E:$E,"Iaith Arall")</f>
        <v>0</v>
      </c>
      <c r="D1257" s="102">
        <f t="shared" si="739"/>
        <v>1</v>
      </c>
      <c r="E1257" s="14"/>
      <c r="F1257" s="14"/>
      <c r="G1257" s="14"/>
      <c r="H1257" s="14"/>
      <c r="I1257" s="14"/>
      <c r="J1257" s="14"/>
      <c r="K1257" s="100"/>
      <c r="L1257" s="102">
        <f t="shared" si="737"/>
        <v>1</v>
      </c>
      <c r="M1257" s="102" t="str">
        <f t="shared" ref="M1257:M1258" si="745">IF(AND(C1257&gt;=0.1,SUM(C1258)&gt;=C1257),"ok",IF(AND(C1257=0,SUM(C1258)=0),"ok",IF(AND(C1257&gt;0.1,SUM(C1258)=0),"wrong",IF(AND(C1257=0,SUM(C1258)&gt;0.1),"wrong"))))</f>
        <v>ok</v>
      </c>
    </row>
    <row r="1258" spans="1:13">
      <c r="A1258" s="133"/>
      <c r="B1258" s="133" t="s">
        <v>867</v>
      </c>
      <c r="C1258" s="134">
        <f>SUMIFS('Hyfforddiant &amp; Gweithdai'!$F:$F,'Hyfforddiant &amp; Gweithdai'!$B:$B,"Hyfforddiant/Gweithdy",'Hyfforddiant &amp; Gweithdai'!$E:$E,"Iaith Arall")</f>
        <v>0</v>
      </c>
      <c r="D1258" s="102">
        <f t="shared" si="739"/>
        <v>1</v>
      </c>
      <c r="E1258" s="14"/>
      <c r="F1258" s="14"/>
      <c r="G1258" s="14"/>
      <c r="H1258" s="14"/>
      <c r="I1258" s="14"/>
      <c r="J1258" s="14"/>
      <c r="K1258" s="100"/>
      <c r="L1258" s="102">
        <f t="shared" si="737"/>
        <v>1</v>
      </c>
      <c r="M1258" s="102" t="str">
        <f t="shared" si="745"/>
        <v>ok</v>
      </c>
    </row>
    <row r="1259" spans="1:13">
      <c r="A1259" s="133"/>
      <c r="B1259" s="133" t="s">
        <v>868</v>
      </c>
      <c r="C1259" s="134">
        <f>SUMIFS('Hyfforddiant &amp; Gweithdai'!$G:$G,'Hyfforddiant &amp; Gweithdai'!$B:$B,"Hyfforddiant/Gweithdy",'Hyfforddiant &amp; Gweithdai'!$E:$E,"Iaith Arall")</f>
        <v>0</v>
      </c>
      <c r="D1259" s="102">
        <f t="shared" si="739"/>
        <v>1</v>
      </c>
      <c r="E1259" s="14"/>
      <c r="F1259" s="14"/>
      <c r="G1259" s="14"/>
      <c r="H1259" s="14"/>
      <c r="I1259" s="14"/>
      <c r="J1259" s="14"/>
      <c r="K1259" s="100"/>
      <c r="L1259" s="102">
        <f t="shared" si="737"/>
        <v>1</v>
      </c>
      <c r="M1259" s="102" t="str">
        <f t="shared" ref="M1259" si="746">IF(C1258&lt;=C1259,"ok","wrong")</f>
        <v>ok</v>
      </c>
    </row>
    <row r="1260" spans="1:13">
      <c r="A1260" s="133"/>
      <c r="B1260" s="133" t="s">
        <v>869</v>
      </c>
      <c r="C1260" s="134">
        <f>COUNTIFS('Hyfforddiant &amp; Gweithdai'!$B:$B,"Hyfforddiant/Gweithdy",'Hyfforddiant &amp; Gweithdai'!$E:$E,"Dwyieithog")</f>
        <v>0</v>
      </c>
      <c r="D1260" s="102">
        <f t="shared" si="739"/>
        <v>1</v>
      </c>
      <c r="E1260" s="14"/>
      <c r="F1260" s="14"/>
      <c r="G1260" s="14"/>
      <c r="H1260" s="14"/>
      <c r="I1260" s="14"/>
      <c r="J1260" s="14"/>
      <c r="K1260" s="100"/>
      <c r="L1260" s="102">
        <f t="shared" si="737"/>
        <v>1</v>
      </c>
      <c r="M1260" s="102" t="str">
        <f t="shared" ref="M1260:M1261" si="747">IF(AND(C1260&gt;=0.1,SUM(C1261)&gt;=C1260),"ok",IF(AND(C1260=0,SUM(C1261)=0),"ok",IF(AND(C1260&gt;0.1,SUM(C1261)=0),"wrong",IF(AND(C1260=0,SUM(C1261)&gt;0.1),"wrong"))))</f>
        <v>ok</v>
      </c>
    </row>
    <row r="1261" spans="1:13">
      <c r="A1261" s="133"/>
      <c r="B1261" s="133" t="s">
        <v>870</v>
      </c>
      <c r="C1261" s="134">
        <f>SUMIFS('Hyfforddiant &amp; Gweithdai'!$F:$F,'Hyfforddiant &amp; Gweithdai'!$B:$B,"Hyfforddiant/Gweithdy",'Hyfforddiant &amp; Gweithdai'!$E:$E,"Dwyieithog")</f>
        <v>0</v>
      </c>
      <c r="D1261" s="102">
        <f t="shared" si="739"/>
        <v>1</v>
      </c>
      <c r="E1261" s="14"/>
      <c r="F1261" s="14"/>
      <c r="G1261" s="14"/>
      <c r="H1261" s="14"/>
      <c r="I1261" s="14"/>
      <c r="J1261" s="14"/>
      <c r="K1261" s="100"/>
      <c r="L1261" s="102">
        <f t="shared" si="737"/>
        <v>1</v>
      </c>
      <c r="M1261" s="102" t="str">
        <f t="shared" si="747"/>
        <v>ok</v>
      </c>
    </row>
    <row r="1262" spans="1:13">
      <c r="A1262" s="133"/>
      <c r="B1262" s="133" t="s">
        <v>871</v>
      </c>
      <c r="C1262" s="134">
        <f>SUMIFS('Hyfforddiant &amp; Gweithdai'!$G:$G,'Hyfforddiant &amp; Gweithdai'!$B:$B,"Hyfforddiant/Gweithdy",'Hyfforddiant &amp; Gweithdai'!$E:$E,"Dwyieithog")</f>
        <v>0</v>
      </c>
      <c r="D1262" s="102">
        <f t="shared" si="739"/>
        <v>1</v>
      </c>
      <c r="E1262" s="14"/>
      <c r="F1262" s="14"/>
      <c r="G1262" s="14"/>
      <c r="H1262" s="14"/>
      <c r="I1262" s="14"/>
      <c r="J1262" s="14"/>
      <c r="K1262" s="100"/>
      <c r="L1262" s="102">
        <f t="shared" si="737"/>
        <v>1</v>
      </c>
      <c r="M1262" s="102" t="str">
        <f t="shared" ref="M1262" si="748">IF(C1261&lt;=C1262,"ok","wrong")</f>
        <v>ok</v>
      </c>
    </row>
    <row r="1263" spans="1:13">
      <c r="A1263" s="133"/>
      <c r="B1263" s="133" t="s">
        <v>872</v>
      </c>
      <c r="C1263" s="134">
        <f>COUNTIFS('Hyfforddiant &amp; Gweithdai'!$B:$B,"Hyfforddiant/Gweithdy",'Hyfforddiant &amp; Gweithdai'!$E:$E,"Amlieithog")</f>
        <v>0</v>
      </c>
      <c r="D1263" s="102">
        <f t="shared" si="739"/>
        <v>1</v>
      </c>
      <c r="E1263" s="14"/>
      <c r="F1263" s="14"/>
      <c r="G1263" s="14"/>
      <c r="H1263" s="14"/>
      <c r="I1263" s="14"/>
      <c r="J1263" s="14"/>
      <c r="K1263" s="100"/>
      <c r="L1263" s="102">
        <f t="shared" si="737"/>
        <v>1</v>
      </c>
      <c r="M1263" s="102" t="str">
        <f t="shared" ref="M1263:M1264" si="749">IF(AND(C1263&gt;=0.1,SUM(C1264)&gt;=C1263),"ok",IF(AND(C1263=0,SUM(C1264)=0),"ok",IF(AND(C1263&gt;0.1,SUM(C1264)=0),"wrong",IF(AND(C1263=0,SUM(C1264)&gt;0.1),"wrong"))))</f>
        <v>ok</v>
      </c>
    </row>
    <row r="1264" spans="1:13">
      <c r="A1264" s="133"/>
      <c r="B1264" s="133" t="s">
        <v>873</v>
      </c>
      <c r="C1264" s="134">
        <f>SUMIFS('Hyfforddiant &amp; Gweithdai'!$F:$F,'Hyfforddiant &amp; Gweithdai'!$B:$B,"Hyfforddiant/Gweithdy",'Hyfforddiant &amp; Gweithdai'!$E:$E,"Amlieithog")</f>
        <v>0</v>
      </c>
      <c r="D1264" s="102">
        <f t="shared" si="739"/>
        <v>1</v>
      </c>
      <c r="E1264" s="14"/>
      <c r="F1264" s="14"/>
      <c r="G1264" s="14"/>
      <c r="H1264" s="14"/>
      <c r="I1264" s="14"/>
      <c r="J1264" s="14"/>
      <c r="K1264" s="100"/>
      <c r="L1264" s="102">
        <f t="shared" si="737"/>
        <v>1</v>
      </c>
      <c r="M1264" s="102" t="str">
        <f t="shared" si="749"/>
        <v>ok</v>
      </c>
    </row>
    <row r="1265" spans="1:13">
      <c r="A1265" s="133"/>
      <c r="B1265" s="133" t="s">
        <v>874</v>
      </c>
      <c r="C1265" s="134">
        <f>SUMIFS('Hyfforddiant &amp; Gweithdai'!$G:$G,'Hyfforddiant &amp; Gweithdai'!$B:$B,"Hyfforddiant/Gweithdy",'Hyfforddiant &amp; Gweithdai'!$E:$E,"Amlieithog")</f>
        <v>0</v>
      </c>
      <c r="D1265" s="102">
        <f t="shared" si="739"/>
        <v>1</v>
      </c>
      <c r="E1265" s="14"/>
      <c r="F1265" s="14"/>
      <c r="G1265" s="14"/>
      <c r="H1265" s="14"/>
      <c r="I1265" s="14"/>
      <c r="J1265" s="14"/>
      <c r="K1265" s="100"/>
      <c r="L1265" s="102">
        <f t="shared" si="737"/>
        <v>1</v>
      </c>
      <c r="M1265" s="102" t="str">
        <f t="shared" ref="M1265" si="750">IF(C1264&lt;=C1265,"ok","wrong")</f>
        <v>ok</v>
      </c>
    </row>
    <row r="1266" spans="1:13">
      <c r="A1266" s="133"/>
      <c r="B1266" s="133" t="s">
        <v>875</v>
      </c>
      <c r="C1266" s="134">
        <f>COUNTIFS('Hyfforddiant &amp; Gweithdai'!$B:$B,"Digwyddiad",'Hyfforddiant &amp; Gweithdai'!$E:$E,"Saesneg")</f>
        <v>0</v>
      </c>
      <c r="D1266" s="102">
        <f t="shared" si="739"/>
        <v>1</v>
      </c>
      <c r="E1266" s="14"/>
      <c r="F1266" s="14"/>
      <c r="G1266" s="14"/>
      <c r="H1266" s="14"/>
      <c r="I1266" s="14"/>
      <c r="J1266" s="14"/>
      <c r="K1266" s="100"/>
      <c r="L1266" s="102">
        <f t="shared" si="737"/>
        <v>1</v>
      </c>
      <c r="M1266" s="102" t="str">
        <f t="shared" ref="M1266:M1267" si="751">IF(AND(C1266&gt;=0.1,SUM(C1267)&gt;=C1266),"ok",IF(AND(C1266=0,SUM(C1267)=0),"ok",IF(AND(C1266&gt;0.1,SUM(C1267)=0),"wrong",IF(AND(C1266=0,SUM(C1267)&gt;0.1),"wrong"))))</f>
        <v>ok</v>
      </c>
    </row>
    <row r="1267" spans="1:13">
      <c r="A1267" s="133"/>
      <c r="B1267" s="133" t="s">
        <v>876</v>
      </c>
      <c r="C1267" s="134">
        <f>SUMIFS('Hyfforddiant &amp; Gweithdai'!$F:$F,'Hyfforddiant &amp; Gweithdai'!$B:$B,"Digwyddiad",'Hyfforddiant &amp; Gweithdai'!$E:$E,"Saesneg")</f>
        <v>0</v>
      </c>
      <c r="D1267" s="102">
        <f t="shared" si="739"/>
        <v>1</v>
      </c>
      <c r="E1267" s="14"/>
      <c r="F1267" s="14"/>
      <c r="G1267" s="14"/>
      <c r="H1267" s="14"/>
      <c r="I1267" s="14"/>
      <c r="J1267" s="14"/>
      <c r="K1267" s="100"/>
      <c r="L1267" s="102">
        <f t="shared" si="737"/>
        <v>1</v>
      </c>
      <c r="M1267" s="102" t="str">
        <f t="shared" si="751"/>
        <v>ok</v>
      </c>
    </row>
    <row r="1268" spans="1:13">
      <c r="A1268" s="133"/>
      <c r="B1268" s="133" t="s">
        <v>877</v>
      </c>
      <c r="C1268" s="134">
        <f>SUMIFS('Hyfforddiant &amp; Gweithdai'!$G:$G,'Hyfforddiant &amp; Gweithdai'!$B:$B,"Digwyddiad",'Hyfforddiant &amp; Gweithdai'!$E:$E,"Saesneg")</f>
        <v>0</v>
      </c>
      <c r="D1268" s="102">
        <f t="shared" si="739"/>
        <v>1</v>
      </c>
      <c r="E1268" s="14"/>
      <c r="F1268" s="14"/>
      <c r="G1268" s="14"/>
      <c r="H1268" s="14"/>
      <c r="I1268" s="14"/>
      <c r="J1268" s="14"/>
      <c r="K1268" s="100"/>
      <c r="L1268" s="102">
        <f t="shared" si="737"/>
        <v>1</v>
      </c>
      <c r="M1268" s="102" t="str">
        <f t="shared" ref="M1268" si="752">IF(C1267&lt;=C1268,"ok","wrong")</f>
        <v>ok</v>
      </c>
    </row>
    <row r="1269" spans="1:13">
      <c r="A1269" s="133"/>
      <c r="B1269" s="133" t="s">
        <v>878</v>
      </c>
      <c r="C1269" s="134">
        <f>COUNTIFS('Hyfforddiant &amp; Gweithdai'!$B:$B,"Digwyddiad",'Hyfforddiant &amp; Gweithdai'!$D:$D,"Cymraeg")</f>
        <v>0</v>
      </c>
      <c r="D1269" s="102">
        <f t="shared" si="739"/>
        <v>1</v>
      </c>
      <c r="E1269" s="14"/>
      <c r="F1269" s="14"/>
      <c r="G1269" s="14"/>
      <c r="H1269" s="14"/>
      <c r="I1269" s="14"/>
      <c r="J1269" s="14"/>
      <c r="K1269" s="100"/>
      <c r="L1269" s="102">
        <f t="shared" si="737"/>
        <v>1</v>
      </c>
      <c r="M1269" s="102" t="str">
        <f t="shared" ref="M1269:M1270" si="753">IF(AND(C1269&gt;=0.1,SUM(C1270)&gt;=C1269),"ok",IF(AND(C1269=0,SUM(C1270)=0),"ok",IF(AND(C1269&gt;0.1,SUM(C1270)=0),"wrong",IF(AND(C1269=0,SUM(C1270)&gt;0.1),"wrong"))))</f>
        <v>ok</v>
      </c>
    </row>
    <row r="1270" spans="1:13">
      <c r="A1270" s="133"/>
      <c r="B1270" s="133" t="s">
        <v>879</v>
      </c>
      <c r="C1270" s="134">
        <f>SUMIFS('Hyfforddiant &amp; Gweithdai'!$F:$F,'Hyfforddiant &amp; Gweithdai'!$B:$B,"Digwyddiad",'Hyfforddiant &amp; Gweithdai'!$E:$E,"Cymraeg")</f>
        <v>0</v>
      </c>
      <c r="D1270" s="102">
        <f t="shared" si="739"/>
        <v>1</v>
      </c>
      <c r="E1270" s="14"/>
      <c r="F1270" s="14"/>
      <c r="G1270" s="14"/>
      <c r="H1270" s="14"/>
      <c r="I1270" s="14"/>
      <c r="J1270" s="14"/>
      <c r="K1270" s="100"/>
      <c r="L1270" s="102">
        <f t="shared" si="737"/>
        <v>1</v>
      </c>
      <c r="M1270" s="102" t="str">
        <f t="shared" si="753"/>
        <v>ok</v>
      </c>
    </row>
    <row r="1271" spans="1:13">
      <c r="A1271" s="133"/>
      <c r="B1271" s="133" t="s">
        <v>880</v>
      </c>
      <c r="C1271" s="134">
        <f>SUMIFS('Hyfforddiant &amp; Gweithdai'!$G:$G,'Hyfforddiant &amp; Gweithdai'!$B:$B,"Digwyddiad",'Hyfforddiant &amp; Gweithdai'!$E:$E,"Cymraeg")</f>
        <v>0</v>
      </c>
      <c r="D1271" s="102">
        <f t="shared" si="739"/>
        <v>1</v>
      </c>
      <c r="E1271" s="14"/>
      <c r="F1271" s="14"/>
      <c r="G1271" s="14"/>
      <c r="H1271" s="14"/>
      <c r="I1271" s="14"/>
      <c r="J1271" s="14"/>
      <c r="K1271" s="100"/>
      <c r="L1271" s="102">
        <f t="shared" si="737"/>
        <v>1</v>
      </c>
      <c r="M1271" s="102" t="str">
        <f t="shared" ref="M1271" si="754">IF(C1270&lt;=C1271,"ok","wrong")</f>
        <v>ok</v>
      </c>
    </row>
    <row r="1272" spans="1:13">
      <c r="A1272" s="133"/>
      <c r="B1272" s="133" t="s">
        <v>881</v>
      </c>
      <c r="C1272" s="134">
        <f>COUNTIFS('Hyfforddiant &amp; Gweithdai'!$B:$B,"Digwyddiad",'Hyfforddiant &amp; Gweithdai'!$E:$E,"Iaith Arall")</f>
        <v>0</v>
      </c>
      <c r="D1272" s="102">
        <f t="shared" si="739"/>
        <v>1</v>
      </c>
      <c r="E1272" s="14"/>
      <c r="F1272" s="14"/>
      <c r="G1272" s="14"/>
      <c r="H1272" s="14"/>
      <c r="I1272" s="14"/>
      <c r="J1272" s="14"/>
      <c r="K1272" s="100"/>
      <c r="L1272" s="102">
        <f t="shared" si="737"/>
        <v>1</v>
      </c>
      <c r="M1272" s="102" t="str">
        <f t="shared" ref="M1272:M1273" si="755">IF(AND(C1272&gt;=0.1,SUM(C1273)&gt;=C1272),"ok",IF(AND(C1272=0,SUM(C1273)=0),"ok",IF(AND(C1272&gt;0.1,SUM(C1273)=0),"wrong",IF(AND(C1272=0,SUM(C1273)&gt;0.1),"wrong"))))</f>
        <v>ok</v>
      </c>
    </row>
    <row r="1273" spans="1:13">
      <c r="A1273" s="133"/>
      <c r="B1273" s="133" t="s">
        <v>882</v>
      </c>
      <c r="C1273" s="134">
        <f>SUMIFS('Hyfforddiant &amp; Gweithdai'!$F:$F,'Hyfforddiant &amp; Gweithdai'!$B:$B,"Digwyddiad",'Hyfforddiant &amp; Gweithdai'!$E:$E,"Iaith Arall")</f>
        <v>0</v>
      </c>
      <c r="D1273" s="102">
        <f t="shared" si="739"/>
        <v>1</v>
      </c>
      <c r="E1273" s="14"/>
      <c r="F1273" s="14"/>
      <c r="G1273" s="14"/>
      <c r="H1273" s="14"/>
      <c r="I1273" s="14"/>
      <c r="J1273" s="14"/>
      <c r="K1273" s="100"/>
      <c r="L1273" s="102">
        <f t="shared" si="737"/>
        <v>1</v>
      </c>
      <c r="M1273" s="102" t="str">
        <f t="shared" si="755"/>
        <v>ok</v>
      </c>
    </row>
    <row r="1274" spans="1:13">
      <c r="A1274" s="133"/>
      <c r="B1274" s="133" t="s">
        <v>883</v>
      </c>
      <c r="C1274" s="134">
        <f>SUMIFS('Hyfforddiant &amp; Gweithdai'!$G:$G,'Hyfforddiant &amp; Gweithdai'!$B:$B,"Digwyddiad",'Hyfforddiant &amp; Gweithdai'!$E:$E,"Iaith Arall")</f>
        <v>0</v>
      </c>
      <c r="D1274" s="102">
        <f t="shared" si="739"/>
        <v>1</v>
      </c>
      <c r="E1274" s="14"/>
      <c r="F1274" s="14"/>
      <c r="G1274" s="14"/>
      <c r="H1274" s="14"/>
      <c r="I1274" s="14"/>
      <c r="J1274" s="14"/>
      <c r="K1274" s="100"/>
      <c r="L1274" s="102">
        <f t="shared" si="737"/>
        <v>1</v>
      </c>
      <c r="M1274" s="102" t="str">
        <f t="shared" ref="M1274" si="756">IF(C1273&lt;=C1274,"ok","wrong")</f>
        <v>ok</v>
      </c>
    </row>
    <row r="1275" spans="1:13">
      <c r="A1275" s="133"/>
      <c r="B1275" s="133" t="s">
        <v>884</v>
      </c>
      <c r="C1275" s="134">
        <f>COUNTIFS('Hyfforddiant &amp; Gweithdai'!$B:$B,"Digwyddiad",'Hyfforddiant &amp; Gweithdai'!$E:$E,"Dwyieithog")</f>
        <v>0</v>
      </c>
      <c r="D1275" s="102">
        <f t="shared" si="739"/>
        <v>1</v>
      </c>
      <c r="E1275" s="14"/>
      <c r="F1275" s="14"/>
      <c r="G1275" s="14"/>
      <c r="H1275" s="14"/>
      <c r="I1275" s="14"/>
      <c r="J1275" s="14"/>
      <c r="K1275" s="100"/>
      <c r="L1275" s="102">
        <f t="shared" si="737"/>
        <v>1</v>
      </c>
      <c r="M1275" s="102" t="str">
        <f t="shared" ref="M1275:M1276" si="757">IF(AND(C1275&gt;=0.1,SUM(C1276)&gt;=C1275),"ok",IF(AND(C1275=0,SUM(C1276)=0),"ok",IF(AND(C1275&gt;0.1,SUM(C1276)=0),"wrong",IF(AND(C1275=0,SUM(C1276)&gt;0.1),"wrong"))))</f>
        <v>ok</v>
      </c>
    </row>
    <row r="1276" spans="1:13">
      <c r="A1276" s="133"/>
      <c r="B1276" s="133" t="s">
        <v>885</v>
      </c>
      <c r="C1276" s="134">
        <f>SUMIFS('Hyfforddiant &amp; Gweithdai'!$F:$F,'Hyfforddiant &amp; Gweithdai'!$B:$B,"Digwyddiad",'Hyfforddiant &amp; Gweithdai'!$E:$E,"Dwyieithog")</f>
        <v>0</v>
      </c>
      <c r="D1276" s="102">
        <f t="shared" si="739"/>
        <v>1</v>
      </c>
      <c r="E1276" s="14"/>
      <c r="F1276" s="14"/>
      <c r="G1276" s="14"/>
      <c r="H1276" s="14"/>
      <c r="I1276" s="14"/>
      <c r="J1276" s="14"/>
      <c r="K1276" s="100"/>
      <c r="L1276" s="102">
        <f t="shared" si="737"/>
        <v>1</v>
      </c>
      <c r="M1276" s="102" t="str">
        <f t="shared" si="757"/>
        <v>ok</v>
      </c>
    </row>
    <row r="1277" spans="1:13">
      <c r="A1277" s="133"/>
      <c r="B1277" s="133" t="s">
        <v>886</v>
      </c>
      <c r="C1277" s="134">
        <f>SUMIFS('Hyfforddiant &amp; Gweithdai'!$G:$G,'Hyfforddiant &amp; Gweithdai'!$B:$B,"Digwyddiad",'Hyfforddiant &amp; Gweithdai'!$E:$E,"Dwyieithog")</f>
        <v>0</v>
      </c>
      <c r="D1277" s="102">
        <f t="shared" si="739"/>
        <v>1</v>
      </c>
      <c r="E1277" s="14"/>
      <c r="F1277" s="14"/>
      <c r="G1277" s="14"/>
      <c r="H1277" s="14"/>
      <c r="I1277" s="14"/>
      <c r="J1277" s="14"/>
      <c r="K1277" s="100"/>
      <c r="L1277" s="102">
        <f t="shared" si="737"/>
        <v>1</v>
      </c>
      <c r="M1277" s="102" t="str">
        <f t="shared" ref="M1277" si="758">IF(C1276&lt;=C1277,"ok","wrong")</f>
        <v>ok</v>
      </c>
    </row>
    <row r="1278" spans="1:13">
      <c r="A1278" s="133"/>
      <c r="B1278" s="133" t="s">
        <v>887</v>
      </c>
      <c r="C1278" s="134">
        <f>COUNTIFS('Hyfforddiant &amp; Gweithdai'!$B:$B,"Digwyddiad",'Hyfforddiant &amp; Gweithdai'!$E:$E,"Amlieithog")</f>
        <v>0</v>
      </c>
      <c r="D1278" s="102">
        <f t="shared" si="739"/>
        <v>1</v>
      </c>
      <c r="E1278" s="14"/>
      <c r="F1278" s="14"/>
      <c r="G1278" s="14"/>
      <c r="H1278" s="14"/>
      <c r="I1278" s="14"/>
      <c r="J1278" s="14"/>
      <c r="K1278" s="100"/>
      <c r="L1278" s="102">
        <f t="shared" si="737"/>
        <v>1</v>
      </c>
      <c r="M1278" s="102" t="str">
        <f t="shared" ref="M1278:M1279" si="759">IF(AND(C1278&gt;=0.1,SUM(C1279)&gt;=C1278),"ok",IF(AND(C1278=0,SUM(C1279)=0),"ok",IF(AND(C1278&gt;0.1,SUM(C1279)=0),"wrong",IF(AND(C1278=0,SUM(C1279)&gt;0.1),"wrong"))))</f>
        <v>ok</v>
      </c>
    </row>
    <row r="1279" spans="1:13">
      <c r="A1279" s="133"/>
      <c r="B1279" s="133" t="s">
        <v>888</v>
      </c>
      <c r="C1279" s="134">
        <f>SUMIFS('Hyfforddiant &amp; Gweithdai'!$F:$F,'Hyfforddiant &amp; Gweithdai'!$B:$B,"Digwyddiad",'Hyfforddiant &amp; Gweithdai'!$E:$E,"Amlieithog")</f>
        <v>0</v>
      </c>
      <c r="D1279" s="102">
        <f t="shared" si="739"/>
        <v>1</v>
      </c>
      <c r="E1279" s="14"/>
      <c r="F1279" s="14"/>
      <c r="G1279" s="14"/>
      <c r="H1279" s="14"/>
      <c r="I1279" s="14"/>
      <c r="J1279" s="14"/>
      <c r="K1279" s="100"/>
      <c r="L1279" s="102">
        <f t="shared" si="737"/>
        <v>1</v>
      </c>
      <c r="M1279" s="102" t="str">
        <f t="shared" si="759"/>
        <v>ok</v>
      </c>
    </row>
    <row r="1280" spans="1:13">
      <c r="A1280" s="133"/>
      <c r="B1280" s="133" t="s">
        <v>889</v>
      </c>
      <c r="C1280" s="134">
        <f>SUMIFS('Hyfforddiant &amp; Gweithdai'!$G:$G,'Hyfforddiant &amp; Gweithdai'!$B:$B,"Digwyddiad",'Hyfforddiant &amp; Gweithdai'!$E:$E,"Amlieithog")</f>
        <v>0</v>
      </c>
      <c r="D1280" s="102">
        <f t="shared" si="739"/>
        <v>1</v>
      </c>
      <c r="E1280" s="14"/>
      <c r="F1280" s="14"/>
      <c r="G1280" s="14"/>
      <c r="H1280" s="14"/>
      <c r="I1280" s="14"/>
      <c r="J1280" s="14"/>
      <c r="K1280" s="100"/>
      <c r="L1280" s="102">
        <f t="shared" si="737"/>
        <v>1</v>
      </c>
      <c r="M1280" s="102" t="str">
        <f t="shared" ref="M1280:M1295" si="760">IF(C1279&lt;=C1280,"ok","wrong")</f>
        <v>ok</v>
      </c>
    </row>
    <row r="1281" spans="1:13">
      <c r="A1281" s="133"/>
      <c r="B1281" s="133" t="s">
        <v>972</v>
      </c>
      <c r="C1281" s="134">
        <f>COUNTIFS('Hyfforddiant &amp; Gweithdai'!$B:$B,"Resource/Newsletter",'Hyfforddiant &amp; Gweithdai'!$E:$E,"English")</f>
        <v>0</v>
      </c>
      <c r="D1281" s="102">
        <f t="shared" si="739"/>
        <v>1</v>
      </c>
      <c r="E1281" s="14"/>
      <c r="F1281" s="14"/>
      <c r="G1281" s="14"/>
      <c r="H1281" s="14"/>
      <c r="I1281" s="14"/>
      <c r="J1281" s="14"/>
      <c r="K1281" s="100"/>
      <c r="L1281" s="102">
        <f t="shared" si="737"/>
        <v>1</v>
      </c>
      <c r="M1281" s="102" t="str">
        <f t="shared" si="760"/>
        <v>ok</v>
      </c>
    </row>
    <row r="1282" spans="1:13">
      <c r="A1282" s="133"/>
      <c r="B1282" s="133" t="s">
        <v>971</v>
      </c>
      <c r="C1282" s="134">
        <f>SUMIFS('Hyfforddiant &amp; Gweithdai'!$F:$F,'Hyfforddiant &amp; Gweithdai'!$B:$B,"Resource/Newsletter",'Hyfforddiant &amp; Gweithdai'!$E:$E,"English")</f>
        <v>0</v>
      </c>
      <c r="D1282" s="102">
        <f t="shared" si="739"/>
        <v>1</v>
      </c>
      <c r="E1282" s="14"/>
      <c r="F1282" s="14"/>
      <c r="G1282" s="14"/>
      <c r="H1282" s="14"/>
      <c r="I1282" s="14"/>
      <c r="J1282" s="14"/>
      <c r="K1282" s="100"/>
      <c r="L1282" s="102">
        <f t="shared" si="737"/>
        <v>1</v>
      </c>
      <c r="M1282" s="102" t="str">
        <f t="shared" si="760"/>
        <v>ok</v>
      </c>
    </row>
    <row r="1283" spans="1:13">
      <c r="A1283" s="133"/>
      <c r="B1283" s="133" t="s">
        <v>973</v>
      </c>
      <c r="C1283" s="134">
        <f>SUMIFS('Hyfforddiant &amp; Gweithdai'!$G:$G,'Hyfforddiant &amp; Gweithdai'!$B:$B,"Resource/Newsletter",'Hyfforddiant &amp; Gweithdai'!$E:$E,"English")</f>
        <v>0</v>
      </c>
      <c r="D1283" s="102">
        <f t="shared" si="739"/>
        <v>1</v>
      </c>
      <c r="E1283" s="14"/>
      <c r="F1283" s="14"/>
      <c r="G1283" s="14"/>
      <c r="H1283" s="14"/>
      <c r="I1283" s="14"/>
      <c r="J1283" s="14"/>
      <c r="K1283" s="100"/>
      <c r="L1283" s="102">
        <f t="shared" si="737"/>
        <v>1</v>
      </c>
      <c r="M1283" s="102" t="str">
        <f t="shared" si="760"/>
        <v>ok</v>
      </c>
    </row>
    <row r="1284" spans="1:13">
      <c r="A1284" s="133"/>
      <c r="B1284" s="133" t="s">
        <v>974</v>
      </c>
      <c r="C1284" s="134">
        <f>COUNTIFS('Hyfforddiant &amp; Gweithdai'!$B:$B,"Resource/Newsletter",'Hyfforddiant &amp; Gweithdai'!$D:$D,"Welsh")</f>
        <v>0</v>
      </c>
      <c r="D1284" s="102">
        <f t="shared" si="739"/>
        <v>1</v>
      </c>
      <c r="E1284" s="14"/>
      <c r="F1284" s="14"/>
      <c r="G1284" s="14"/>
      <c r="H1284" s="14"/>
      <c r="I1284" s="14"/>
      <c r="J1284" s="14"/>
      <c r="K1284" s="100"/>
      <c r="L1284" s="102">
        <f t="shared" si="737"/>
        <v>1</v>
      </c>
      <c r="M1284" s="102" t="str">
        <f t="shared" si="760"/>
        <v>ok</v>
      </c>
    </row>
    <row r="1285" spans="1:13">
      <c r="A1285" s="133"/>
      <c r="B1285" s="133" t="s">
        <v>975</v>
      </c>
      <c r="C1285" s="134">
        <f>SUMIFS('Hyfforddiant &amp; Gweithdai'!$F:$F,'Hyfforddiant &amp; Gweithdai'!$B:$B,"Resource/Newsletter",'Hyfforddiant &amp; Gweithdai'!$E:$E,"Welsh")</f>
        <v>0</v>
      </c>
      <c r="D1285" s="102">
        <f t="shared" si="739"/>
        <v>1</v>
      </c>
      <c r="E1285" s="14"/>
      <c r="F1285" s="14"/>
      <c r="G1285" s="14"/>
      <c r="H1285" s="14"/>
      <c r="I1285" s="14"/>
      <c r="J1285" s="14"/>
      <c r="K1285" s="100"/>
      <c r="L1285" s="102">
        <f t="shared" si="737"/>
        <v>1</v>
      </c>
      <c r="M1285" s="102" t="str">
        <f t="shared" si="760"/>
        <v>ok</v>
      </c>
    </row>
    <row r="1286" spans="1:13">
      <c r="A1286" s="133"/>
      <c r="B1286" s="133" t="s">
        <v>976</v>
      </c>
      <c r="C1286" s="134">
        <f>SUMIFS('Hyfforddiant &amp; Gweithdai'!$G:$G,'Hyfforddiant &amp; Gweithdai'!$B:$B,"Resource/Newsletter",'Hyfforddiant &amp; Gweithdai'!$E:$E,"Welsh")</f>
        <v>0</v>
      </c>
      <c r="D1286" s="102">
        <f t="shared" si="739"/>
        <v>1</v>
      </c>
      <c r="E1286" s="14"/>
      <c r="F1286" s="14"/>
      <c r="G1286" s="14"/>
      <c r="H1286" s="14"/>
      <c r="I1286" s="14"/>
      <c r="J1286" s="14"/>
      <c r="K1286" s="100"/>
      <c r="L1286" s="102">
        <f t="shared" si="737"/>
        <v>1</v>
      </c>
      <c r="M1286" s="102" t="str">
        <f t="shared" si="760"/>
        <v>ok</v>
      </c>
    </row>
    <row r="1287" spans="1:13">
      <c r="A1287" s="133"/>
      <c r="B1287" s="133" t="s">
        <v>977</v>
      </c>
      <c r="C1287" s="134">
        <f>COUNTIFS('Hyfforddiant &amp; Gweithdai'!$B:$B,"Resource/Newsletter",'Hyfforddiant &amp; Gweithdai'!$E:$E,"Other")</f>
        <v>0</v>
      </c>
      <c r="D1287" s="102">
        <f t="shared" si="739"/>
        <v>1</v>
      </c>
      <c r="E1287" s="14"/>
      <c r="F1287" s="14"/>
      <c r="G1287" s="14"/>
      <c r="H1287" s="14"/>
      <c r="I1287" s="14"/>
      <c r="J1287" s="14"/>
      <c r="K1287" s="100"/>
      <c r="L1287" s="102">
        <f t="shared" si="737"/>
        <v>1</v>
      </c>
      <c r="M1287" s="102" t="str">
        <f t="shared" si="760"/>
        <v>ok</v>
      </c>
    </row>
    <row r="1288" spans="1:13">
      <c r="A1288" s="133"/>
      <c r="B1288" s="133" t="s">
        <v>978</v>
      </c>
      <c r="C1288" s="134">
        <f>SUMIFS('Hyfforddiant &amp; Gweithdai'!$F:$F,'Hyfforddiant &amp; Gweithdai'!$B:$B,"Resource/Newsletter",'Hyfforddiant &amp; Gweithdai'!$E:$E,"Other")</f>
        <v>0</v>
      </c>
      <c r="D1288" s="102">
        <f t="shared" si="739"/>
        <v>1</v>
      </c>
      <c r="E1288" s="14"/>
      <c r="F1288" s="14"/>
      <c r="G1288" s="14"/>
      <c r="H1288" s="14"/>
      <c r="I1288" s="14"/>
      <c r="J1288" s="14"/>
      <c r="K1288" s="100"/>
      <c r="L1288" s="102">
        <f t="shared" si="737"/>
        <v>1</v>
      </c>
      <c r="M1288" s="102" t="str">
        <f t="shared" si="760"/>
        <v>ok</v>
      </c>
    </row>
    <row r="1289" spans="1:13">
      <c r="A1289" s="133"/>
      <c r="B1289" s="133" t="s">
        <v>979</v>
      </c>
      <c r="C1289" s="134">
        <f>SUMIFS('Hyfforddiant &amp; Gweithdai'!$G:$G,'Hyfforddiant &amp; Gweithdai'!$B:$B,"Resource/Newsletter",'Hyfforddiant &amp; Gweithdai'!$E:$E,"Other")</f>
        <v>0</v>
      </c>
      <c r="D1289" s="102">
        <f t="shared" si="739"/>
        <v>1</v>
      </c>
      <c r="E1289" s="14"/>
      <c r="F1289" s="14"/>
      <c r="G1289" s="14"/>
      <c r="H1289" s="14"/>
      <c r="I1289" s="14"/>
      <c r="J1289" s="14"/>
      <c r="K1289" s="100"/>
      <c r="L1289" s="102">
        <f t="shared" si="737"/>
        <v>1</v>
      </c>
      <c r="M1289" s="102" t="str">
        <f t="shared" si="760"/>
        <v>ok</v>
      </c>
    </row>
    <row r="1290" spans="1:13">
      <c r="A1290" s="133"/>
      <c r="B1290" s="133" t="s">
        <v>980</v>
      </c>
      <c r="C1290" s="134">
        <f>COUNTIFS('Hyfforddiant &amp; Gweithdai'!$B:$B,"Resource/Newsletter",'Hyfforddiant &amp; Gweithdai'!$E:$E,"bilingual")</f>
        <v>0</v>
      </c>
      <c r="D1290" s="102">
        <f t="shared" si="739"/>
        <v>1</v>
      </c>
      <c r="E1290" s="14"/>
      <c r="F1290" s="14"/>
      <c r="G1290" s="14"/>
      <c r="H1290" s="14"/>
      <c r="I1290" s="14"/>
      <c r="J1290" s="14"/>
      <c r="K1290" s="100"/>
      <c r="L1290" s="102">
        <f t="shared" si="737"/>
        <v>1</v>
      </c>
      <c r="M1290" s="102" t="str">
        <f t="shared" si="760"/>
        <v>ok</v>
      </c>
    </row>
    <row r="1291" spans="1:13">
      <c r="A1291" s="133"/>
      <c r="B1291" s="133" t="s">
        <v>981</v>
      </c>
      <c r="C1291" s="134">
        <f>SUMIFS('Hyfforddiant &amp; Gweithdai'!$F:$F,'Hyfforddiant &amp; Gweithdai'!$B:$B,"Resource/Newsletter",'Hyfforddiant &amp; Gweithdai'!$E:$E,"bilingual")</f>
        <v>0</v>
      </c>
      <c r="D1291" s="102">
        <f t="shared" si="739"/>
        <v>1</v>
      </c>
      <c r="E1291" s="14"/>
      <c r="F1291" s="14"/>
      <c r="G1291" s="14"/>
      <c r="H1291" s="14"/>
      <c r="I1291" s="14"/>
      <c r="J1291" s="14"/>
      <c r="K1291" s="100"/>
      <c r="L1291" s="102">
        <f t="shared" si="737"/>
        <v>1</v>
      </c>
      <c r="M1291" s="102" t="str">
        <f t="shared" si="760"/>
        <v>ok</v>
      </c>
    </row>
    <row r="1292" spans="1:13">
      <c r="A1292" s="133"/>
      <c r="B1292" s="133" t="s">
        <v>983</v>
      </c>
      <c r="C1292" s="134">
        <f>SUMIFS('Hyfforddiant &amp; Gweithdai'!$G:$G,'Hyfforddiant &amp; Gweithdai'!$B:$B,"Resource/Newsletter",'Hyfforddiant &amp; Gweithdai'!$E:$E,"bilingual")</f>
        <v>0</v>
      </c>
      <c r="D1292" s="102">
        <f t="shared" si="739"/>
        <v>1</v>
      </c>
      <c r="E1292" s="14"/>
      <c r="F1292" s="14"/>
      <c r="G1292" s="14"/>
      <c r="H1292" s="14"/>
      <c r="I1292" s="14"/>
      <c r="J1292" s="14"/>
      <c r="K1292" s="100"/>
      <c r="L1292" s="102">
        <f t="shared" si="737"/>
        <v>1</v>
      </c>
      <c r="M1292" s="102" t="str">
        <f t="shared" si="760"/>
        <v>ok</v>
      </c>
    </row>
    <row r="1293" spans="1:13">
      <c r="A1293" s="133"/>
      <c r="B1293" s="133" t="s">
        <v>982</v>
      </c>
      <c r="C1293" s="134">
        <f>COUNTIFS('Hyfforddiant &amp; Gweithdai'!$B:$B,"Resource/Newsletter",'Hyfforddiant &amp; Gweithdai'!$E:$E,"multilingual")</f>
        <v>0</v>
      </c>
      <c r="D1293" s="102">
        <f t="shared" si="739"/>
        <v>1</v>
      </c>
      <c r="E1293" s="14"/>
      <c r="F1293" s="14"/>
      <c r="G1293" s="14"/>
      <c r="H1293" s="14"/>
      <c r="I1293" s="14"/>
      <c r="J1293" s="14"/>
      <c r="K1293" s="100"/>
      <c r="L1293" s="102">
        <f t="shared" si="737"/>
        <v>1</v>
      </c>
      <c r="M1293" s="102" t="str">
        <f t="shared" si="760"/>
        <v>ok</v>
      </c>
    </row>
    <row r="1294" spans="1:13">
      <c r="A1294" s="133"/>
      <c r="B1294" s="133" t="s">
        <v>984</v>
      </c>
      <c r="C1294" s="134">
        <f>SUMIFS('Hyfforddiant &amp; Gweithdai'!$F:$F,'Hyfforddiant &amp; Gweithdai'!$B:$B,"Resource/Newsletter",'Hyfforddiant &amp; Gweithdai'!$E:$E,"multilingual")</f>
        <v>0</v>
      </c>
      <c r="D1294" s="102">
        <f t="shared" si="739"/>
        <v>1</v>
      </c>
      <c r="E1294" s="14"/>
      <c r="F1294" s="14"/>
      <c r="G1294" s="14"/>
      <c r="H1294" s="14"/>
      <c r="I1294" s="14"/>
      <c r="J1294" s="14"/>
      <c r="K1294" s="100"/>
      <c r="L1294" s="102">
        <f t="shared" si="737"/>
        <v>1</v>
      </c>
      <c r="M1294" s="102" t="str">
        <f t="shared" si="760"/>
        <v>ok</v>
      </c>
    </row>
    <row r="1295" spans="1:13">
      <c r="A1295" s="133"/>
      <c r="B1295" s="133" t="s">
        <v>985</v>
      </c>
      <c r="C1295" s="134">
        <f>SUMIFS('Hyfforddiant &amp; Gweithdai'!$G:$G,'Hyfforddiant &amp; Gweithdai'!$B:$B,"Resource/Newsletter",'Hyfforddiant &amp; Gweithdai'!$E:$E,"multilingual")</f>
        <v>0</v>
      </c>
      <c r="D1295" s="102">
        <f t="shared" si="739"/>
        <v>1</v>
      </c>
      <c r="E1295" s="14"/>
      <c r="F1295" s="14"/>
      <c r="G1295" s="14"/>
      <c r="H1295" s="14"/>
      <c r="I1295" s="14"/>
      <c r="J1295" s="14"/>
      <c r="K1295" s="100"/>
      <c r="L1295" s="102">
        <f t="shared" si="737"/>
        <v>1</v>
      </c>
      <c r="M1295" s="102" t="str">
        <f t="shared" si="760"/>
        <v>ok</v>
      </c>
    </row>
    <row r="1296" spans="1:13">
      <c r="A1296" s="133" t="s">
        <v>890</v>
      </c>
      <c r="B1296" s="135" t="s">
        <v>491</v>
      </c>
      <c r="C1296" s="134">
        <f>COUNTIF('Hyfforddiant &amp; Gweithdai'!$H:$H,"Do")</f>
        <v>0</v>
      </c>
      <c r="D1296" s="14"/>
      <c r="E1296" s="14"/>
      <c r="F1296" s="14"/>
      <c r="G1296" s="14"/>
      <c r="H1296" s="14"/>
      <c r="I1296" s="14"/>
      <c r="J1296" s="14"/>
      <c r="K1296" s="100"/>
      <c r="L1296" s="102"/>
      <c r="M1296" s="102"/>
    </row>
    <row r="1297" spans="1:13">
      <c r="A1297" s="133"/>
      <c r="B1297" s="135" t="s">
        <v>585</v>
      </c>
      <c r="C1297" s="134">
        <f>COUNTIF('Hyfforddiant &amp; Gweithdai'!$I:$I,"Do")</f>
        <v>0</v>
      </c>
      <c r="D1297" s="14"/>
      <c r="E1297" s="14"/>
      <c r="F1297" s="14"/>
      <c r="G1297" s="14"/>
      <c r="H1297" s="14"/>
      <c r="I1297" s="14"/>
      <c r="J1297" s="14"/>
      <c r="K1297" s="100"/>
      <c r="L1297" s="102"/>
      <c r="M1297" s="102"/>
    </row>
    <row r="1298" spans="1:13">
      <c r="A1298" s="133"/>
      <c r="B1298" s="135" t="s">
        <v>90</v>
      </c>
      <c r="C1298" s="134">
        <f>COUNTIF('Hyfforddiant &amp; Gweithdai'!$J:$J,"Do")</f>
        <v>0</v>
      </c>
      <c r="D1298" s="14"/>
      <c r="E1298" s="14"/>
      <c r="F1298" s="14"/>
      <c r="G1298" s="14"/>
      <c r="H1298" s="14"/>
      <c r="I1298" s="14"/>
      <c r="J1298" s="14"/>
      <c r="K1298" s="100"/>
      <c r="L1298" s="102"/>
      <c r="M1298" s="102"/>
    </row>
    <row r="1299" spans="1:13">
      <c r="A1299" s="133"/>
      <c r="B1299" s="135" t="s">
        <v>586</v>
      </c>
      <c r="C1299" s="134">
        <f>COUNTIF('Hyfforddiant &amp; Gweithdai'!$K:$K,"Do")</f>
        <v>0</v>
      </c>
      <c r="D1299" s="14"/>
      <c r="E1299" s="14"/>
      <c r="F1299" s="14"/>
      <c r="G1299" s="14"/>
      <c r="H1299" s="14"/>
      <c r="I1299" s="14"/>
      <c r="J1299" s="14"/>
      <c r="K1299" s="100"/>
      <c r="L1299" s="102"/>
      <c r="M1299" s="102"/>
    </row>
    <row r="1300" spans="1:13">
      <c r="A1300" s="133"/>
      <c r="B1300" s="135" t="s">
        <v>587</v>
      </c>
      <c r="C1300" s="134">
        <f>COUNTIF('Hyfforddiant &amp; Gweithdai'!$L:$L,"Do")</f>
        <v>0</v>
      </c>
      <c r="D1300" s="14"/>
      <c r="E1300" s="14"/>
      <c r="F1300" s="14"/>
      <c r="G1300" s="14"/>
      <c r="H1300" s="14"/>
      <c r="I1300" s="14"/>
      <c r="J1300" s="14"/>
      <c r="K1300" s="100"/>
      <c r="L1300" s="102"/>
      <c r="M1300" s="102"/>
    </row>
    <row r="1301" spans="1:13">
      <c r="A1301" s="133"/>
      <c r="B1301" s="135" t="s">
        <v>588</v>
      </c>
      <c r="C1301" s="134">
        <f>COUNTIF('Hyfforddiant &amp; Gweithdai'!$M:$M,"Do")</f>
        <v>0</v>
      </c>
      <c r="D1301" s="14"/>
      <c r="E1301" s="14"/>
      <c r="F1301" s="14"/>
      <c r="G1301" s="14"/>
      <c r="H1301" s="14"/>
      <c r="I1301" s="14"/>
      <c r="J1301" s="14"/>
      <c r="K1301" s="100"/>
      <c r="L1301" s="102"/>
      <c r="M1301" s="102"/>
    </row>
    <row r="1302" spans="1:13">
      <c r="A1302" s="133"/>
      <c r="B1302" s="135" t="s">
        <v>589</v>
      </c>
      <c r="C1302" s="134">
        <f>COUNTIF('Hyfforddiant &amp; Gweithdai'!$N:$N,"~Do")</f>
        <v>0</v>
      </c>
      <c r="D1302" s="14"/>
      <c r="E1302" s="14"/>
      <c r="F1302" s="14"/>
      <c r="G1302" s="14"/>
      <c r="H1302" s="14"/>
      <c r="I1302" s="14"/>
      <c r="J1302" s="14"/>
      <c r="K1302" s="100"/>
      <c r="L1302" s="102"/>
      <c r="M1302" s="102"/>
    </row>
    <row r="1303" spans="1:13">
      <c r="A1303" s="133"/>
      <c r="B1303" s="135" t="s">
        <v>590</v>
      </c>
      <c r="C1303" s="134">
        <f>COUNTIF('Hyfforddiant &amp; Gweithdai'!$O:$O,"Do")</f>
        <v>0</v>
      </c>
      <c r="D1303" s="14"/>
      <c r="E1303" s="14"/>
      <c r="F1303" s="14"/>
      <c r="G1303" s="14"/>
      <c r="H1303" s="14"/>
      <c r="I1303" s="14"/>
      <c r="J1303" s="14"/>
      <c r="K1303" s="100"/>
      <c r="L1303" s="102"/>
      <c r="M1303" s="102"/>
    </row>
    <row r="1304" spans="1:13">
      <c r="A1304" s="133"/>
      <c r="B1304" s="135" t="s">
        <v>96</v>
      </c>
      <c r="C1304" s="134">
        <f>COUNTIF('Hyfforddiant &amp; Gweithdai'!$P:$P,"Do")</f>
        <v>0</v>
      </c>
      <c r="D1304" s="14"/>
      <c r="E1304" s="14"/>
      <c r="F1304" s="14"/>
      <c r="G1304" s="14"/>
      <c r="H1304" s="14"/>
      <c r="I1304" s="14"/>
      <c r="J1304" s="14"/>
      <c r="K1304" s="100"/>
      <c r="L1304" s="102"/>
      <c r="M1304" s="102"/>
    </row>
    <row r="1305" spans="1:13">
      <c r="A1305" s="133"/>
      <c r="B1305" s="135" t="s">
        <v>97</v>
      </c>
      <c r="C1305" s="134">
        <f>COUNTIF('Hyfforddiant &amp; Gweithdai'!$Q:$Q,"Do")</f>
        <v>0</v>
      </c>
      <c r="D1305" s="14"/>
      <c r="E1305" s="14"/>
      <c r="F1305" s="14"/>
      <c r="G1305" s="14"/>
      <c r="H1305" s="14"/>
      <c r="I1305" s="14"/>
      <c r="J1305" s="14"/>
      <c r="K1305" s="100"/>
      <c r="L1305" s="102"/>
      <c r="M1305" s="102"/>
    </row>
    <row r="1306" spans="1:13" ht="43.5">
      <c r="A1306" s="135" t="s">
        <v>891</v>
      </c>
      <c r="B1306" s="135" t="s">
        <v>370</v>
      </c>
      <c r="C1306" s="134">
        <f>COUNTIF('Hyfforddiant &amp; Gweithdai'!$S:$S,"Dawns")</f>
        <v>0</v>
      </c>
      <c r="D1306" s="14"/>
      <c r="E1306" s="14"/>
      <c r="F1306" s="14"/>
      <c r="G1306" s="14"/>
      <c r="H1306" s="14"/>
      <c r="I1306" s="14"/>
      <c r="J1306" s="14"/>
      <c r="K1306" s="100"/>
      <c r="L1306" s="102"/>
      <c r="M1306" s="102"/>
    </row>
    <row r="1307" spans="1:13">
      <c r="A1307" s="133"/>
      <c r="B1307" s="135" t="s">
        <v>373</v>
      </c>
      <c r="C1307" s="134">
        <f>COUNTIF('Hyfforddiant &amp; Gweithdai'!$S:$S,"Amlddisgyblaethol")</f>
        <v>0</v>
      </c>
      <c r="D1307" s="14"/>
      <c r="E1307" s="14"/>
      <c r="F1307" s="14"/>
      <c r="G1307" s="14"/>
      <c r="H1307" s="14"/>
      <c r="I1307" s="14"/>
      <c r="J1307" s="14"/>
      <c r="K1307" s="100"/>
      <c r="L1307" s="102"/>
      <c r="M1307" s="102"/>
    </row>
    <row r="1308" spans="1:13">
      <c r="A1308" s="133"/>
      <c r="B1308" s="135" t="s">
        <v>376</v>
      </c>
      <c r="C1308" s="134">
        <f>COUNTIF('Hyfforddiant &amp; Gweithdai'!$S:$S,"Drama")</f>
        <v>0</v>
      </c>
      <c r="D1308" s="14"/>
      <c r="E1308" s="14"/>
      <c r="F1308" s="14"/>
      <c r="G1308" s="14"/>
      <c r="H1308" s="14"/>
      <c r="I1308" s="14"/>
      <c r="J1308" s="14"/>
      <c r="K1308" s="100"/>
      <c r="L1308" s="102"/>
      <c r="M1308" s="102"/>
    </row>
    <row r="1309" spans="1:13">
      <c r="A1309" s="133"/>
      <c r="B1309" s="135" t="s">
        <v>378</v>
      </c>
      <c r="C1309" s="134">
        <f>COUNTIF('Hyfforddiant &amp; Gweithdai'!$S:$S,"Cerddoriaeth")</f>
        <v>0</v>
      </c>
      <c r="D1309" s="14"/>
      <c r="E1309" s="14"/>
      <c r="F1309" s="14"/>
      <c r="G1309" s="14"/>
      <c r="H1309" s="14"/>
      <c r="I1309" s="14"/>
      <c r="J1309" s="14"/>
      <c r="K1309" s="100"/>
      <c r="L1309" s="102"/>
      <c r="M1309" s="102"/>
    </row>
    <row r="1310" spans="1:13">
      <c r="A1310" s="133"/>
      <c r="B1310" s="135" t="s">
        <v>379</v>
      </c>
      <c r="C1310" s="134">
        <f>COUNTIF('Hyfforddiant &amp; Gweithdai'!$S:$S,"Opera")</f>
        <v>0</v>
      </c>
      <c r="D1310" s="14"/>
      <c r="E1310" s="14"/>
      <c r="F1310" s="14"/>
      <c r="G1310" s="14"/>
      <c r="H1310" s="14"/>
      <c r="I1310" s="14"/>
      <c r="J1310" s="14"/>
      <c r="K1310" s="100"/>
      <c r="L1310" s="102"/>
      <c r="M1310" s="102"/>
    </row>
    <row r="1311" spans="1:13">
      <c r="A1311" s="133"/>
      <c r="B1311" s="135" t="s">
        <v>381</v>
      </c>
      <c r="C1311" s="134">
        <f>COUNTIF('Hyfforddiant &amp; Gweithdai'!$S:$S,"Adloniant Theatr")</f>
        <v>0</v>
      </c>
      <c r="D1311" s="14"/>
      <c r="E1311" s="14"/>
      <c r="F1311" s="14"/>
      <c r="G1311" s="14"/>
      <c r="H1311" s="14"/>
      <c r="I1311" s="14"/>
      <c r="J1311" s="14"/>
      <c r="K1311" s="100"/>
      <c r="L1311" s="102"/>
      <c r="M1311" s="102"/>
    </row>
    <row r="1312" spans="1:13">
      <c r="A1312" s="133"/>
      <c r="B1312" s="135" t="s">
        <v>293</v>
      </c>
      <c r="C1312" s="134">
        <f>COUNTIF('Hyfforddiant &amp; Gweithdai'!$S:$S,"Celfyddydau Gweledol")</f>
        <v>0</v>
      </c>
      <c r="D1312" s="14"/>
      <c r="E1312" s="14"/>
      <c r="F1312" s="14"/>
      <c r="G1312" s="14"/>
      <c r="H1312" s="14"/>
      <c r="I1312" s="14"/>
      <c r="J1312" s="14"/>
      <c r="K1312" s="100"/>
      <c r="L1312" s="102"/>
      <c r="M1312" s="102"/>
    </row>
    <row r="1313" spans="1:13">
      <c r="A1313" s="133"/>
      <c r="B1313" s="135" t="s">
        <v>384</v>
      </c>
      <c r="C1313" s="134">
        <f>COUNTIF('Hyfforddiant &amp; Gweithdai'!$S:$S,"Crefft")</f>
        <v>0</v>
      </c>
      <c r="D1313" s="14"/>
      <c r="E1313" s="14"/>
      <c r="F1313" s="14"/>
      <c r="G1313" s="14"/>
      <c r="H1313" s="14"/>
      <c r="I1313" s="14"/>
      <c r="J1313" s="14"/>
      <c r="K1313" s="100"/>
      <c r="L1313" s="102"/>
      <c r="M1313" s="102"/>
    </row>
    <row r="1314" spans="1:13">
      <c r="A1314" s="133"/>
      <c r="B1314" s="135" t="s">
        <v>385</v>
      </c>
      <c r="C1314" s="134">
        <f>COUNTIF('Hyfforddiant &amp; Gweithdai'!$S:$S,"Llenyddiaeth")</f>
        <v>0</v>
      </c>
      <c r="D1314" s="14"/>
      <c r="E1314" s="14"/>
      <c r="F1314" s="14"/>
      <c r="G1314" s="14"/>
      <c r="H1314" s="14"/>
      <c r="I1314" s="14"/>
      <c r="J1314" s="14"/>
      <c r="K1314" s="100"/>
      <c r="L1314" s="102"/>
      <c r="M1314" s="102"/>
    </row>
    <row r="1315" spans="1:13">
      <c r="A1315" s="133"/>
      <c r="B1315" s="135" t="s">
        <v>386</v>
      </c>
      <c r="C1315" s="134">
        <f>COUNTIF('Hyfforddiant &amp; Gweithdai'!$S:$S,"Celf Gyhoeddus")</f>
        <v>0</v>
      </c>
      <c r="D1315" s="14"/>
      <c r="E1315" s="14"/>
      <c r="F1315" s="14"/>
      <c r="G1315" s="14"/>
      <c r="H1315" s="14"/>
      <c r="I1315" s="14"/>
      <c r="J1315" s="14"/>
      <c r="K1315" s="100"/>
      <c r="L1315" s="102"/>
      <c r="M1315" s="102"/>
    </row>
    <row r="1316" spans="1:13">
      <c r="A1316" s="133"/>
      <c r="B1316" s="135" t="s">
        <v>620</v>
      </c>
      <c r="C1316" s="134">
        <f>COUNTIF('Hyfforddiant &amp; Gweithdai'!$S:$S,"Cynhyrchu Ffilm")</f>
        <v>0</v>
      </c>
      <c r="D1316" s="14"/>
      <c r="E1316" s="14"/>
      <c r="F1316" s="14"/>
      <c r="G1316" s="14"/>
      <c r="H1316" s="14"/>
      <c r="I1316" s="14"/>
      <c r="J1316" s="14"/>
      <c r="K1316" s="100"/>
      <c r="L1316" s="102"/>
      <c r="M1316" s="102"/>
    </row>
    <row r="1317" spans="1:13">
      <c r="A1317" s="133"/>
      <c r="B1317" s="135" t="s">
        <v>170</v>
      </c>
      <c r="C1317" s="134">
        <f>COUNTIF('Hyfforddiant &amp; Gweithdai'!$S:$S,"Arall")</f>
        <v>0</v>
      </c>
      <c r="D1317" s="14"/>
      <c r="E1317" s="14"/>
      <c r="F1317" s="14"/>
      <c r="G1317" s="14"/>
      <c r="H1317" s="14"/>
      <c r="I1317" s="14"/>
      <c r="J1317" s="14"/>
      <c r="K1317" s="100"/>
      <c r="L1317" s="102"/>
      <c r="M1317" s="102"/>
    </row>
    <row r="1318" spans="1:13" ht="16">
      <c r="A1318" s="90"/>
      <c r="B1318" s="90"/>
      <c r="C1318" s="90"/>
      <c r="D1318" s="14"/>
      <c r="E1318" s="14"/>
      <c r="F1318" s="14"/>
      <c r="G1318" s="14"/>
      <c r="H1318" s="14"/>
      <c r="I1318" s="14"/>
      <c r="J1318" s="14"/>
      <c r="K1318" s="100"/>
      <c r="L1318" s="102"/>
      <c r="M1318" s="102"/>
    </row>
    <row r="1319" spans="1:13">
      <c r="A1319" s="136" t="s">
        <v>892</v>
      </c>
      <c r="B1319" s="136"/>
      <c r="C1319" s="136"/>
      <c r="D1319" s="14"/>
      <c r="E1319" s="14"/>
      <c r="F1319" s="14"/>
      <c r="G1319" s="14"/>
      <c r="H1319" s="14"/>
      <c r="I1319" s="14"/>
      <c r="J1319" s="14"/>
      <c r="K1319" s="100"/>
      <c r="L1319" s="102"/>
      <c r="M1319" s="102"/>
    </row>
    <row r="1320" spans="1:13">
      <c r="A1320" s="136"/>
      <c r="B1320" s="136"/>
      <c r="C1320" s="136"/>
      <c r="D1320" s="14"/>
      <c r="E1320" s="14"/>
      <c r="F1320" s="14"/>
      <c r="G1320" s="14"/>
      <c r="H1320" s="14"/>
      <c r="I1320" s="14"/>
      <c r="J1320" s="14"/>
      <c r="K1320" s="100"/>
      <c r="L1320" s="102"/>
      <c r="M1320" s="102"/>
    </row>
    <row r="1321" spans="1:13">
      <c r="A1321" s="136" t="s">
        <v>267</v>
      </c>
      <c r="B1321" s="137" t="s">
        <v>893</v>
      </c>
      <c r="C1321" s="138">
        <f>SUM('Tenantiaid&amp;Preswyliaeth Artist'!$B:$B)</f>
        <v>0</v>
      </c>
      <c r="D1321" s="157"/>
      <c r="E1321" s="14"/>
      <c r="F1321" s="14"/>
      <c r="G1321" s="14"/>
      <c r="H1321" s="14"/>
      <c r="I1321" s="14"/>
      <c r="J1321" s="14"/>
      <c r="K1321" s="100"/>
      <c r="L1321" s="102"/>
      <c r="M1321" s="102"/>
    </row>
    <row r="1322" spans="1:13" ht="29">
      <c r="A1322" s="136"/>
      <c r="B1322" s="137" t="s">
        <v>894</v>
      </c>
      <c r="C1322" s="138">
        <f>SUM('Tenantiaid&amp;Preswyliaeth Artist'!$C:$C)</f>
        <v>0</v>
      </c>
      <c r="D1322" s="157"/>
      <c r="E1322" s="14"/>
      <c r="F1322" s="14"/>
      <c r="G1322" s="14"/>
      <c r="H1322" s="14"/>
      <c r="I1322" s="14"/>
      <c r="J1322" s="14"/>
      <c r="K1322" s="100"/>
      <c r="L1322" s="102"/>
      <c r="M1322" s="102"/>
    </row>
    <row r="1323" spans="1:13" ht="29">
      <c r="A1323" s="136"/>
      <c r="B1323" s="137" t="s">
        <v>895</v>
      </c>
      <c r="C1323" s="138">
        <f>SUM('Tenantiaid&amp;Preswyliaeth Artist'!$D:$D)</f>
        <v>0</v>
      </c>
      <c r="D1323" s="157"/>
      <c r="E1323" s="14"/>
      <c r="F1323" s="14"/>
      <c r="G1323" s="14"/>
      <c r="H1323" s="14"/>
      <c r="I1323" s="14"/>
      <c r="J1323" s="14"/>
      <c r="K1323" s="100"/>
      <c r="L1323" s="102"/>
      <c r="M1323" s="102"/>
    </row>
    <row r="1324" spans="1:13" ht="29">
      <c r="A1324" s="136" t="s">
        <v>896</v>
      </c>
      <c r="B1324" s="137" t="s">
        <v>897</v>
      </c>
      <c r="C1324" s="138">
        <f>SUM('Tenantiaid&amp;Preswyliaeth Artist'!$E:$E)</f>
        <v>0</v>
      </c>
      <c r="D1324" s="14"/>
      <c r="E1324" s="14"/>
      <c r="F1324" s="14"/>
      <c r="G1324" s="14"/>
      <c r="H1324" s="14"/>
      <c r="I1324" s="14"/>
      <c r="J1324" s="14"/>
      <c r="K1324" s="100"/>
      <c r="L1324" s="102"/>
      <c r="M1324" s="102"/>
    </row>
    <row r="1325" spans="1:13" ht="29">
      <c r="A1325" s="136"/>
      <c r="B1325" s="137" t="s">
        <v>898</v>
      </c>
      <c r="C1325" s="138">
        <f>SUM('Tenantiaid&amp;Preswyliaeth Artist'!$F:$F)</f>
        <v>0</v>
      </c>
      <c r="D1325" s="14"/>
      <c r="E1325" s="14"/>
      <c r="F1325" s="14"/>
      <c r="G1325" s="14"/>
      <c r="H1325" s="14"/>
      <c r="I1325" s="14"/>
      <c r="J1325" s="14"/>
      <c r="K1325" s="100"/>
      <c r="L1325" s="102"/>
      <c r="M1325" s="102"/>
    </row>
    <row r="1326" spans="1:13" ht="29">
      <c r="A1326" s="136"/>
      <c r="B1326" s="137" t="s">
        <v>899</v>
      </c>
      <c r="C1326" s="138">
        <f>SUM('Tenantiaid&amp;Preswyliaeth Artist'!$G:$G)</f>
        <v>0</v>
      </c>
      <c r="D1326" s="14"/>
      <c r="E1326" s="14"/>
      <c r="F1326" s="14"/>
      <c r="G1326" s="14"/>
      <c r="H1326" s="14"/>
      <c r="I1326" s="14"/>
      <c r="J1326" s="14"/>
      <c r="K1326" s="100"/>
      <c r="L1326" s="102"/>
      <c r="M1326" s="102"/>
    </row>
    <row r="1327" spans="1:13" ht="29">
      <c r="A1327" s="136" t="s">
        <v>900</v>
      </c>
      <c r="B1327" s="137" t="s">
        <v>901</v>
      </c>
      <c r="C1327" s="138">
        <f>SUM('Tenantiaid&amp;Preswyliaeth Artist'!$H:$H)</f>
        <v>0</v>
      </c>
      <c r="D1327" s="102"/>
      <c r="E1327" s="14"/>
      <c r="F1327" s="14"/>
      <c r="G1327" s="14"/>
      <c r="H1327" s="14"/>
      <c r="I1327" s="14"/>
      <c r="J1327" s="14"/>
      <c r="K1327" s="100"/>
      <c r="L1327" s="102"/>
      <c r="M1327" s="102"/>
    </row>
    <row r="1328" spans="1:13" ht="29">
      <c r="A1328" s="136" t="s">
        <v>270</v>
      </c>
      <c r="B1328" s="137" t="s">
        <v>277</v>
      </c>
      <c r="C1328" s="138">
        <f>'Tenantiaid&amp;Preswyliaeth Artist'!I5</f>
        <v>0</v>
      </c>
      <c r="D1328" s="102"/>
      <c r="E1328" s="14"/>
      <c r="F1328" s="14"/>
      <c r="G1328" s="14"/>
      <c r="H1328" s="14"/>
      <c r="I1328" s="14"/>
      <c r="J1328" s="14"/>
      <c r="K1328" s="100"/>
      <c r="L1328" s="102"/>
      <c r="M1328" s="102"/>
    </row>
    <row r="1329" spans="1:13" ht="29">
      <c r="A1329" s="136"/>
      <c r="B1329" s="137" t="s">
        <v>497</v>
      </c>
      <c r="C1329" s="138">
        <f>'Tenantiaid&amp;Preswyliaeth Artist'!J5</f>
        <v>0</v>
      </c>
      <c r="D1329" s="102"/>
      <c r="E1329" s="14"/>
      <c r="F1329" s="14"/>
      <c r="G1329" s="14"/>
      <c r="H1329" s="14"/>
      <c r="I1329" s="14"/>
      <c r="J1329" s="14"/>
      <c r="K1329" s="100"/>
      <c r="L1329" s="102"/>
      <c r="M1329" s="102"/>
    </row>
    <row r="1330" spans="1:13" ht="16">
      <c r="A1330" s="90"/>
      <c r="B1330" s="90"/>
      <c r="C1330" s="90"/>
      <c r="D1330" s="102"/>
      <c r="E1330" s="14"/>
      <c r="F1330" s="14"/>
      <c r="G1330" s="14"/>
      <c r="H1330" s="14"/>
      <c r="I1330" s="14"/>
      <c r="J1330" s="14"/>
      <c r="K1330" s="100"/>
      <c r="L1330" s="102"/>
      <c r="M1330" s="102"/>
    </row>
    <row r="1331" spans="1:13">
      <c r="A1331" s="139" t="s">
        <v>521</v>
      </c>
      <c r="B1331" s="139"/>
      <c r="C1331" s="139"/>
      <c r="D1331" s="14"/>
      <c r="E1331" s="14"/>
      <c r="F1331" s="14"/>
      <c r="G1331" s="14"/>
      <c r="H1331" s="14"/>
      <c r="I1331" s="14"/>
      <c r="J1331" s="14"/>
      <c r="K1331" s="100"/>
      <c r="L1331" s="102"/>
      <c r="M1331" s="102"/>
    </row>
    <row r="1332" spans="1:13">
      <c r="A1332" s="139"/>
      <c r="B1332" s="139"/>
      <c r="C1332" s="139"/>
      <c r="D1332" s="14"/>
      <c r="E1332" s="14"/>
      <c r="F1332" s="14"/>
      <c r="G1332" s="14"/>
      <c r="H1332" s="14"/>
      <c r="I1332" s="14"/>
      <c r="J1332" s="14"/>
      <c r="K1332" s="100"/>
      <c r="L1332" s="102"/>
      <c r="M1332" s="102"/>
    </row>
    <row r="1333" spans="1:13">
      <c r="A1333" s="139" t="s">
        <v>523</v>
      </c>
      <c r="B1333" s="139" t="s">
        <v>902</v>
      </c>
      <c r="C1333" s="140">
        <f>COUNTIF('Sgwrsiau&amp;Sesiynau holi ac ateb'!D4:D9999,"Sgwrs neu sesiwn holi ac ateb ddigidol fyw")</f>
        <v>0</v>
      </c>
      <c r="D1333" s="158">
        <f>L1333</f>
        <v>1</v>
      </c>
      <c r="E1333" s="14"/>
      <c r="F1333" s="14"/>
      <c r="G1333" s="14"/>
      <c r="H1333" s="14"/>
      <c r="I1333" s="14"/>
      <c r="J1333" s="14"/>
      <c r="K1333" s="100"/>
      <c r="L1333" s="102">
        <f t="shared" ref="L1333:L1358" si="761">IF(M1333="ok",1,0)</f>
        <v>1</v>
      </c>
      <c r="M1333" s="102" t="str">
        <f t="shared" ref="M1333:M1337" si="762">IF(AND(C1333&gt;=0.1,SUM(C1334)&gt;=C1333),"ok",IF(AND(C1333=0,SUM(C1334)=0),"ok",IF(AND(C1333&gt;0.1,SUM(C1334)=0),"wrong",IF(AND(C1333=0,SUM(C1334)&gt;0.1),"wrong"))))</f>
        <v>ok</v>
      </c>
    </row>
    <row r="1334" spans="1:13">
      <c r="A1334" s="139"/>
      <c r="B1334" s="139" t="s">
        <v>903</v>
      </c>
      <c r="C1334" s="140">
        <f>SUMIF('Sgwrsiau&amp;Sesiynau holi ac ateb'!D4:D9999,"Sgwrs neu sesiwn holi ac ateb ddigidol fyw",'Sgwrsiau&amp;Sesiynau holi ac ateb'!F4:F9999)</f>
        <v>0</v>
      </c>
      <c r="D1334" s="158">
        <f t="shared" ref="D1334:D1358" si="763">L1334</f>
        <v>1</v>
      </c>
      <c r="E1334" s="14"/>
      <c r="F1334" s="14"/>
      <c r="G1334" s="14"/>
      <c r="H1334" s="14"/>
      <c r="I1334" s="14"/>
      <c r="J1334" s="14"/>
      <c r="K1334" s="100"/>
      <c r="L1334" s="102">
        <f t="shared" si="761"/>
        <v>1</v>
      </c>
      <c r="M1334" s="102" t="str">
        <f t="shared" ref="M1334" si="764">IF(C1333&lt;=C1334,"ok","wrong")</f>
        <v>ok</v>
      </c>
    </row>
    <row r="1335" spans="1:13">
      <c r="A1335" s="139"/>
      <c r="B1335" s="139" t="s">
        <v>904</v>
      </c>
      <c r="C1335" s="140">
        <f>COUNTIF('Sgwrsiau&amp;Sesiynau holi ac ateb'!D4:D9999,"Sgwrs neu sesiwn holi ac ateb ddigidol wedi'i recordio ymlaen llaw")</f>
        <v>0</v>
      </c>
      <c r="D1335" s="158">
        <f t="shared" si="763"/>
        <v>1</v>
      </c>
      <c r="E1335" s="14"/>
      <c r="F1335" s="14"/>
      <c r="G1335" s="14"/>
      <c r="H1335" s="14"/>
      <c r="I1335" s="14"/>
      <c r="J1335" s="14"/>
      <c r="K1335" s="100"/>
      <c r="L1335" s="102">
        <f t="shared" si="761"/>
        <v>1</v>
      </c>
      <c r="M1335" s="102" t="str">
        <f t="shared" si="762"/>
        <v>ok</v>
      </c>
    </row>
    <row r="1336" spans="1:13">
      <c r="A1336" s="139"/>
      <c r="B1336" s="139" t="s">
        <v>905</v>
      </c>
      <c r="C1336" s="140">
        <f>SUMIF('Sgwrsiau&amp;Sesiynau holi ac ateb'!D4:D9999,"Sgwrs neu sesiwn holi ac ateb ddigidol wedi'i recordio ymlaen llaw",'Sgwrsiau&amp;Sesiynau holi ac ateb'!F4:F9999)</f>
        <v>0</v>
      </c>
      <c r="D1336" s="158">
        <f t="shared" si="763"/>
        <v>1</v>
      </c>
      <c r="E1336" s="14"/>
      <c r="F1336" s="14"/>
      <c r="G1336" s="14"/>
      <c r="H1336" s="14"/>
      <c r="I1336" s="14"/>
      <c r="J1336" s="14"/>
      <c r="K1336" s="100"/>
      <c r="L1336" s="102">
        <f t="shared" si="761"/>
        <v>1</v>
      </c>
      <c r="M1336" s="102" t="str">
        <f t="shared" ref="M1336" si="765">IF(C1335&lt;=C1336,"ok","wrong")</f>
        <v>ok</v>
      </c>
    </row>
    <row r="1337" spans="1:13">
      <c r="A1337" s="139"/>
      <c r="B1337" s="139" t="s">
        <v>906</v>
      </c>
      <c r="C1337" s="140">
        <f>COUNTIF('Sgwrsiau&amp;Sesiynau holi ac ateb'!D4:D9999,"Sgwrs neu sesiwn holi ac ateb fyw")</f>
        <v>0</v>
      </c>
      <c r="D1337" s="158">
        <f t="shared" si="763"/>
        <v>1</v>
      </c>
      <c r="E1337" s="14"/>
      <c r="F1337" s="14"/>
      <c r="G1337" s="14"/>
      <c r="H1337" s="14"/>
      <c r="I1337" s="14"/>
      <c r="J1337" s="14"/>
      <c r="K1337" s="100"/>
      <c r="L1337" s="102">
        <f t="shared" si="761"/>
        <v>1</v>
      </c>
      <c r="M1337" s="102" t="str">
        <f t="shared" si="762"/>
        <v>ok</v>
      </c>
    </row>
    <row r="1338" spans="1:13">
      <c r="A1338" s="139"/>
      <c r="B1338" s="139" t="s">
        <v>907</v>
      </c>
      <c r="C1338" s="140">
        <f>SUMIF('Sgwrsiau&amp;Sesiynau holi ac ateb'!D4:D9999,"Sgwrs neu sesiwn holi ac ateb fyw",'Sgwrsiau&amp;Sesiynau holi ac ateb'!F4:F9999)</f>
        <v>0</v>
      </c>
      <c r="D1338" s="158">
        <f t="shared" si="763"/>
        <v>1</v>
      </c>
      <c r="E1338" s="14"/>
      <c r="F1338" s="14"/>
      <c r="G1338" s="14"/>
      <c r="H1338" s="14"/>
      <c r="I1338" s="14"/>
      <c r="J1338" s="14"/>
      <c r="K1338" s="100"/>
      <c r="L1338" s="102">
        <f t="shared" si="761"/>
        <v>1</v>
      </c>
      <c r="M1338" s="102" t="str">
        <f t="shared" ref="M1338:M1340" si="766">IF(C1337&lt;=C1338,"ok","wrong")</f>
        <v>ok</v>
      </c>
    </row>
    <row r="1339" spans="1:13">
      <c r="A1339" s="139" t="s">
        <v>628</v>
      </c>
      <c r="B1339" s="139" t="s">
        <v>908</v>
      </c>
      <c r="C1339" s="140">
        <f>COUNTIFS('Sgwrsiau&amp;Sesiynau holi ac ateb'!$B:$B,"Sgwrs",'Sgwrsiau&amp;Sesiynau holi ac ateb'!$E:$E,"Saesneg")</f>
        <v>0</v>
      </c>
      <c r="D1339" s="102">
        <f t="shared" si="763"/>
        <v>1</v>
      </c>
      <c r="E1339" s="14"/>
      <c r="F1339" s="14"/>
      <c r="G1339" s="14"/>
      <c r="H1339" s="14"/>
      <c r="I1339" s="14"/>
      <c r="J1339" s="14"/>
      <c r="K1339" s="100"/>
      <c r="L1339" s="102">
        <f t="shared" si="761"/>
        <v>1</v>
      </c>
      <c r="M1339" s="102" t="str">
        <f t="shared" ref="M1339" si="767">IF(AND(C1339&gt;=0.1,SUM(C1340)&gt;=C1339),"ok",IF(AND(C1339=0,SUM(C1340)=0),"ok",IF(AND(C1339&gt;0.1,SUM(C1340)=0),"wrong",IF(AND(C1339=0,SUM(C1340)&gt;0.1),"wrong"))))</f>
        <v>ok</v>
      </c>
    </row>
    <row r="1340" spans="1:13">
      <c r="A1340" s="139"/>
      <c r="B1340" s="139" t="s">
        <v>909</v>
      </c>
      <c r="C1340" s="140">
        <f>SUMIFS('Sgwrsiau&amp;Sesiynau holi ac ateb'!$F:$F,'Sgwrsiau&amp;Sesiynau holi ac ateb'!$B:$B,"Sgwrs",'Sgwrsiau&amp;Sesiynau holi ac ateb'!$E:$E,"Saesneg")</f>
        <v>0</v>
      </c>
      <c r="D1340" s="102">
        <f t="shared" si="763"/>
        <v>1</v>
      </c>
      <c r="E1340" s="14"/>
      <c r="F1340" s="14"/>
      <c r="G1340" s="14"/>
      <c r="H1340" s="14"/>
      <c r="I1340" s="14"/>
      <c r="J1340" s="14"/>
      <c r="K1340" s="100"/>
      <c r="L1340" s="102">
        <f t="shared" si="761"/>
        <v>1</v>
      </c>
      <c r="M1340" s="102" t="str">
        <f t="shared" si="766"/>
        <v>ok</v>
      </c>
    </row>
    <row r="1341" spans="1:13">
      <c r="A1341" s="139"/>
      <c r="B1341" s="139" t="s">
        <v>910</v>
      </c>
      <c r="C1341" s="140">
        <f>COUNTIFS('Sgwrsiau&amp;Sesiynau holi ac ateb'!$B:$B,"Sgwrs",'Sgwrsiau&amp;Sesiynau holi ac ateb'!$E:$E,"Cymraeg")</f>
        <v>0</v>
      </c>
      <c r="D1341" s="102">
        <f t="shared" si="763"/>
        <v>1</v>
      </c>
      <c r="E1341" s="14"/>
      <c r="F1341" s="14"/>
      <c r="G1341" s="14"/>
      <c r="H1341" s="14"/>
      <c r="I1341" s="14"/>
      <c r="J1341" s="14"/>
      <c r="K1341" s="100"/>
      <c r="L1341" s="102">
        <f t="shared" si="761"/>
        <v>1</v>
      </c>
      <c r="M1341" s="102" t="str">
        <f t="shared" ref="M1341" si="768">IF(AND(C1341&gt;=0.1,SUM(C1342)&gt;=C1341),"ok",IF(AND(C1341=0,SUM(C1342)=0),"ok",IF(AND(C1341&gt;0.1,SUM(C1342)=0),"wrong",IF(AND(C1341=0,SUM(C1342)&gt;0.1),"wrong"))))</f>
        <v>ok</v>
      </c>
    </row>
    <row r="1342" spans="1:13">
      <c r="A1342" s="139"/>
      <c r="B1342" s="139" t="s">
        <v>911</v>
      </c>
      <c r="C1342" s="140">
        <f>SUMIFS('Sgwrsiau&amp;Sesiynau holi ac ateb'!$F:$F,'Sgwrsiau&amp;Sesiynau holi ac ateb'!$B:$B,"Sgwrs",'Sgwrsiau&amp;Sesiynau holi ac ateb'!$E:$E,"Cymraeg")</f>
        <v>0</v>
      </c>
      <c r="D1342" s="102">
        <f t="shared" si="763"/>
        <v>1</v>
      </c>
      <c r="E1342" s="14"/>
      <c r="F1342" s="14"/>
      <c r="G1342" s="14"/>
      <c r="H1342" s="14"/>
      <c r="I1342" s="14"/>
      <c r="J1342" s="14"/>
      <c r="K1342" s="100"/>
      <c r="L1342" s="102">
        <f t="shared" si="761"/>
        <v>1</v>
      </c>
      <c r="M1342" s="102" t="str">
        <f t="shared" ref="M1342" si="769">IF(C1341&lt;=C1342,"ok","wrong")</f>
        <v>ok</v>
      </c>
    </row>
    <row r="1343" spans="1:13">
      <c r="A1343" s="139"/>
      <c r="B1343" s="139" t="s">
        <v>912</v>
      </c>
      <c r="C1343" s="140">
        <f>COUNTIFS('Sgwrsiau&amp;Sesiynau holi ac ateb'!$B:$B,"Sgwrs",'Sgwrsiau&amp;Sesiynau holi ac ateb'!$E:$E,"Iaith arall")</f>
        <v>0</v>
      </c>
      <c r="D1343" s="102">
        <f t="shared" si="763"/>
        <v>1</v>
      </c>
      <c r="E1343" s="14"/>
      <c r="F1343" s="14"/>
      <c r="G1343" s="14"/>
      <c r="H1343" s="14"/>
      <c r="I1343" s="14"/>
      <c r="J1343" s="14"/>
      <c r="K1343" s="100"/>
      <c r="L1343" s="102">
        <f t="shared" si="761"/>
        <v>1</v>
      </c>
      <c r="M1343" s="102" t="str">
        <f t="shared" ref="M1343" si="770">IF(AND(C1343&gt;=0.1,SUM(C1344)&gt;=C1343),"ok",IF(AND(C1343=0,SUM(C1344)=0),"ok",IF(AND(C1343&gt;0.1,SUM(C1344)=0),"wrong",IF(AND(C1343=0,SUM(C1344)&gt;0.1),"wrong"))))</f>
        <v>ok</v>
      </c>
    </row>
    <row r="1344" spans="1:13">
      <c r="A1344" s="139"/>
      <c r="B1344" s="139" t="s">
        <v>913</v>
      </c>
      <c r="C1344" s="140">
        <f>SUMIFS('Sgwrsiau&amp;Sesiynau holi ac ateb'!$F:$F,'Sgwrsiau&amp;Sesiynau holi ac ateb'!$B:$B,"Sgwrs",'Sgwrsiau&amp;Sesiynau holi ac ateb'!$E:$E,"Iaith arall")</f>
        <v>0</v>
      </c>
      <c r="D1344" s="102">
        <f t="shared" si="763"/>
        <v>1</v>
      </c>
      <c r="E1344" s="14"/>
      <c r="F1344" s="14"/>
      <c r="G1344" s="14"/>
      <c r="H1344" s="14"/>
      <c r="I1344" s="14"/>
      <c r="J1344" s="14"/>
      <c r="K1344" s="100"/>
      <c r="L1344" s="102">
        <f t="shared" si="761"/>
        <v>1</v>
      </c>
      <c r="M1344" s="102" t="str">
        <f t="shared" ref="M1344" si="771">IF(C1343&lt;=C1344,"ok","wrong")</f>
        <v>ok</v>
      </c>
    </row>
    <row r="1345" spans="1:13">
      <c r="A1345" s="139"/>
      <c r="B1345" s="139" t="s">
        <v>914</v>
      </c>
      <c r="C1345" s="140">
        <f>COUNTIFS('Sgwrsiau&amp;Sesiynau holi ac ateb'!$B:$B,"Sgwrs",'Sgwrsiau&amp;Sesiynau holi ac ateb'!$E:$E,"Dwyieithog")</f>
        <v>0</v>
      </c>
      <c r="D1345" s="102">
        <f t="shared" si="763"/>
        <v>1</v>
      </c>
      <c r="E1345" s="14"/>
      <c r="F1345" s="14"/>
      <c r="G1345" s="14"/>
      <c r="H1345" s="14"/>
      <c r="I1345" s="14"/>
      <c r="J1345" s="14"/>
      <c r="K1345" s="100"/>
      <c r="L1345" s="102">
        <f t="shared" si="761"/>
        <v>1</v>
      </c>
      <c r="M1345" s="102" t="str">
        <f t="shared" ref="M1345" si="772">IF(AND(C1345&gt;=0.1,SUM(C1346)&gt;=C1345),"ok",IF(AND(C1345=0,SUM(C1346)=0),"ok",IF(AND(C1345&gt;0.1,SUM(C1346)=0),"wrong",IF(AND(C1345=0,SUM(C1346)&gt;0.1),"wrong"))))</f>
        <v>ok</v>
      </c>
    </row>
    <row r="1346" spans="1:13">
      <c r="A1346" s="139"/>
      <c r="B1346" s="139" t="s">
        <v>915</v>
      </c>
      <c r="C1346" s="140">
        <f>SUMIFS('Sgwrsiau&amp;Sesiynau holi ac ateb'!$F:$F,'Sgwrsiau&amp;Sesiynau holi ac ateb'!$B:$B,"Sgwrs",'Sgwrsiau&amp;Sesiynau holi ac ateb'!$E:$E,"Dwyieithog")</f>
        <v>0</v>
      </c>
      <c r="D1346" s="102">
        <f t="shared" si="763"/>
        <v>1</v>
      </c>
      <c r="E1346" s="14"/>
      <c r="F1346" s="14"/>
      <c r="G1346" s="14"/>
      <c r="H1346" s="14"/>
      <c r="I1346" s="14"/>
      <c r="J1346" s="14"/>
      <c r="K1346" s="100"/>
      <c r="L1346" s="102">
        <f t="shared" si="761"/>
        <v>1</v>
      </c>
      <c r="M1346" s="102" t="str">
        <f t="shared" ref="M1346" si="773">IF(C1345&lt;=C1346,"ok","wrong")</f>
        <v>ok</v>
      </c>
    </row>
    <row r="1347" spans="1:13">
      <c r="A1347" s="139"/>
      <c r="B1347" s="139" t="s">
        <v>916</v>
      </c>
      <c r="C1347" s="140">
        <f>COUNTIFS('Sgwrsiau&amp;Sesiynau holi ac ateb'!$B:$B,"Sgwrs",'Sgwrsiau&amp;Sesiynau holi ac ateb'!$E:$E,"Amlieithog")</f>
        <v>0</v>
      </c>
      <c r="D1347" s="102">
        <f t="shared" si="763"/>
        <v>1</v>
      </c>
      <c r="E1347" s="14"/>
      <c r="F1347" s="14"/>
      <c r="G1347" s="14"/>
      <c r="H1347" s="14"/>
      <c r="I1347" s="14"/>
      <c r="J1347" s="14"/>
      <c r="K1347" s="100"/>
      <c r="L1347" s="102">
        <f t="shared" si="761"/>
        <v>1</v>
      </c>
      <c r="M1347" s="102" t="str">
        <f t="shared" ref="M1347" si="774">IF(AND(C1347&gt;=0.1,SUM(C1348)&gt;=C1347),"ok",IF(AND(C1347=0,SUM(C1348)=0),"ok",IF(AND(C1347&gt;0.1,SUM(C1348)=0),"wrong",IF(AND(C1347=0,SUM(C1348)&gt;0.1),"wrong"))))</f>
        <v>ok</v>
      </c>
    </row>
    <row r="1348" spans="1:13">
      <c r="A1348" s="139"/>
      <c r="B1348" s="139" t="s">
        <v>917</v>
      </c>
      <c r="C1348" s="140">
        <f>SUMIFS('Sgwrsiau&amp;Sesiynau holi ac ateb'!$F:$F,'Sgwrsiau&amp;Sesiynau holi ac ateb'!$B:$B,"Sgwrs",'Sgwrsiau&amp;Sesiynau holi ac ateb'!$E:$E,"Amlieithog")</f>
        <v>0</v>
      </c>
      <c r="D1348" s="102">
        <f t="shared" si="763"/>
        <v>1</v>
      </c>
      <c r="E1348" s="14"/>
      <c r="F1348" s="14"/>
      <c r="G1348" s="14"/>
      <c r="H1348" s="14"/>
      <c r="I1348" s="14"/>
      <c r="J1348" s="14"/>
      <c r="K1348" s="100"/>
      <c r="L1348" s="102">
        <f t="shared" si="761"/>
        <v>1</v>
      </c>
      <c r="M1348" s="102" t="str">
        <f t="shared" ref="M1348" si="775">IF(C1347&lt;=C1348,"ok","wrong")</f>
        <v>ok</v>
      </c>
    </row>
    <row r="1349" spans="1:13">
      <c r="A1349" s="139"/>
      <c r="B1349" s="139" t="s">
        <v>918</v>
      </c>
      <c r="C1349" s="140">
        <f>COUNTIFS('Sgwrsiau&amp;Sesiynau holi ac ateb'!$B:$B,"Sesiwn Holi ac ateb",'Sgwrsiau&amp;Sesiynau holi ac ateb'!$E:$E,"Saesneg")</f>
        <v>0</v>
      </c>
      <c r="D1349" s="102">
        <f t="shared" si="763"/>
        <v>1</v>
      </c>
      <c r="E1349" s="14"/>
      <c r="F1349" s="14"/>
      <c r="G1349" s="14"/>
      <c r="H1349" s="14"/>
      <c r="I1349" s="14"/>
      <c r="J1349" s="14"/>
      <c r="K1349" s="100"/>
      <c r="L1349" s="102">
        <f t="shared" si="761"/>
        <v>1</v>
      </c>
      <c r="M1349" s="102" t="str">
        <f t="shared" ref="M1349" si="776">IF(AND(C1349&gt;=0.1,SUM(C1350)&gt;=C1349),"ok",IF(AND(C1349=0,SUM(C1350)=0),"ok",IF(AND(C1349&gt;0.1,SUM(C1350)=0),"wrong",IF(AND(C1349=0,SUM(C1350)&gt;0.1),"wrong"))))</f>
        <v>ok</v>
      </c>
    </row>
    <row r="1350" spans="1:13">
      <c r="A1350" s="139"/>
      <c r="B1350" s="139" t="s">
        <v>919</v>
      </c>
      <c r="C1350" s="140">
        <f>SUMIFS('Sgwrsiau&amp;Sesiynau holi ac ateb'!$F:$F,'Sgwrsiau&amp;Sesiynau holi ac ateb'!$B:$B,"Sesiwn Holi ac ateb",'Sgwrsiau&amp;Sesiynau holi ac ateb'!$E:$E,"Saesneg")</f>
        <v>0</v>
      </c>
      <c r="D1350" s="102">
        <f t="shared" si="763"/>
        <v>1</v>
      </c>
      <c r="E1350" s="14"/>
      <c r="F1350" s="14"/>
      <c r="G1350" s="14"/>
      <c r="H1350" s="14"/>
      <c r="I1350" s="14"/>
      <c r="J1350" s="14"/>
      <c r="K1350" s="100"/>
      <c r="L1350" s="102">
        <f t="shared" si="761"/>
        <v>1</v>
      </c>
      <c r="M1350" s="102" t="str">
        <f t="shared" ref="M1350" si="777">IF(C1349&lt;=C1350,"ok","wrong")</f>
        <v>ok</v>
      </c>
    </row>
    <row r="1351" spans="1:13">
      <c r="A1351" s="139"/>
      <c r="B1351" s="139" t="s">
        <v>920</v>
      </c>
      <c r="C1351" s="140">
        <f>COUNTIFS('Sgwrsiau&amp;Sesiynau holi ac ateb'!$B:$B,"Sesiwn Holi ac ateb",'Sgwrsiau&amp;Sesiynau holi ac ateb'!$E:$E,"Cymraeg")</f>
        <v>0</v>
      </c>
      <c r="D1351" s="102">
        <f t="shared" si="763"/>
        <v>1</v>
      </c>
      <c r="E1351" s="14"/>
      <c r="F1351" s="14"/>
      <c r="G1351" s="14"/>
      <c r="H1351" s="14"/>
      <c r="I1351" s="14"/>
      <c r="J1351" s="14"/>
      <c r="K1351" s="100"/>
      <c r="L1351" s="102">
        <f t="shared" si="761"/>
        <v>1</v>
      </c>
      <c r="M1351" s="102" t="str">
        <f t="shared" ref="M1351" si="778">IF(AND(C1351&gt;=0.1,SUM(C1352)&gt;=C1351),"ok",IF(AND(C1351=0,SUM(C1352)=0),"ok",IF(AND(C1351&gt;0.1,SUM(C1352)=0),"wrong",IF(AND(C1351=0,SUM(C1352)&gt;0.1),"wrong"))))</f>
        <v>ok</v>
      </c>
    </row>
    <row r="1352" spans="1:13">
      <c r="A1352" s="139"/>
      <c r="B1352" s="139" t="s">
        <v>921</v>
      </c>
      <c r="C1352" s="140">
        <f>SUMIFS('Sgwrsiau&amp;Sesiynau holi ac ateb'!$F:$F,'Sgwrsiau&amp;Sesiynau holi ac ateb'!$B:$B,"Sesiwn Holi ac ateb",'Sgwrsiau&amp;Sesiynau holi ac ateb'!$E:$E,"Cymraeg")</f>
        <v>0</v>
      </c>
      <c r="D1352" s="102">
        <f t="shared" si="763"/>
        <v>1</v>
      </c>
      <c r="E1352" s="14"/>
      <c r="F1352" s="14"/>
      <c r="G1352" s="14"/>
      <c r="H1352" s="14"/>
      <c r="I1352" s="14"/>
      <c r="J1352" s="14"/>
      <c r="K1352" s="100"/>
      <c r="L1352" s="102">
        <f t="shared" si="761"/>
        <v>1</v>
      </c>
      <c r="M1352" s="102" t="str">
        <f t="shared" ref="M1352" si="779">IF(C1351&lt;=C1352,"ok","wrong")</f>
        <v>ok</v>
      </c>
    </row>
    <row r="1353" spans="1:13">
      <c r="A1353" s="139"/>
      <c r="B1353" s="139" t="s">
        <v>922</v>
      </c>
      <c r="C1353" s="140">
        <f>COUNTIFS('Sgwrsiau&amp;Sesiynau holi ac ateb'!$B:$B,"Sesiwn Holi ac ateb",'Sgwrsiau&amp;Sesiynau holi ac ateb'!$E:$E,"Iaith arall")</f>
        <v>0</v>
      </c>
      <c r="D1353" s="102">
        <f t="shared" si="763"/>
        <v>1</v>
      </c>
      <c r="E1353" s="14"/>
      <c r="F1353" s="14"/>
      <c r="G1353" s="14"/>
      <c r="H1353" s="14"/>
      <c r="I1353" s="14"/>
      <c r="J1353" s="14"/>
      <c r="K1353" s="100"/>
      <c r="L1353" s="102">
        <f t="shared" si="761"/>
        <v>1</v>
      </c>
      <c r="M1353" s="102" t="str">
        <f t="shared" ref="M1353" si="780">IF(AND(C1353&gt;=0.1,SUM(C1354)&gt;=C1353),"ok",IF(AND(C1353=0,SUM(C1354)=0),"ok",IF(AND(C1353&gt;0.1,SUM(C1354)=0),"wrong",IF(AND(C1353=0,SUM(C1354)&gt;0.1),"wrong"))))</f>
        <v>ok</v>
      </c>
    </row>
    <row r="1354" spans="1:13">
      <c r="A1354" s="139"/>
      <c r="B1354" s="139" t="s">
        <v>923</v>
      </c>
      <c r="C1354" s="140">
        <f>SUMIFS('Sgwrsiau&amp;Sesiynau holi ac ateb'!$F:$F,'Sgwrsiau&amp;Sesiynau holi ac ateb'!$B:$B,"Sesiwn Holi ac ateb",'Sgwrsiau&amp;Sesiynau holi ac ateb'!$E:$E,"Iaith arall")</f>
        <v>0</v>
      </c>
      <c r="D1354" s="102">
        <f t="shared" si="763"/>
        <v>1</v>
      </c>
      <c r="E1354" s="14"/>
      <c r="F1354" s="14"/>
      <c r="G1354" s="14"/>
      <c r="H1354" s="14"/>
      <c r="I1354" s="14"/>
      <c r="J1354" s="14"/>
      <c r="K1354" s="100"/>
      <c r="L1354" s="102">
        <f t="shared" si="761"/>
        <v>1</v>
      </c>
      <c r="M1354" s="102" t="str">
        <f t="shared" ref="M1354" si="781">IF(C1353&lt;=C1354,"ok","wrong")</f>
        <v>ok</v>
      </c>
    </row>
    <row r="1355" spans="1:13">
      <c r="A1355" s="139"/>
      <c r="B1355" s="139" t="s">
        <v>924</v>
      </c>
      <c r="C1355" s="140">
        <f>COUNTIFS('Sgwrsiau&amp;Sesiynau holi ac ateb'!$B:$B,"Sesiwn Holi ac ateb",'Sgwrsiau&amp;Sesiynau holi ac ateb'!$E:$E,"Dwyieithog")</f>
        <v>0</v>
      </c>
      <c r="D1355" s="102">
        <f t="shared" si="763"/>
        <v>1</v>
      </c>
      <c r="E1355" s="14"/>
      <c r="F1355" s="14"/>
      <c r="G1355" s="14"/>
      <c r="H1355" s="14"/>
      <c r="I1355" s="14"/>
      <c r="J1355" s="14"/>
      <c r="K1355" s="100"/>
      <c r="L1355" s="102">
        <f t="shared" si="761"/>
        <v>1</v>
      </c>
      <c r="M1355" s="102" t="str">
        <f t="shared" ref="M1355" si="782">IF(AND(C1355&gt;=0.1,SUM(C1356)&gt;=C1355),"ok",IF(AND(C1355=0,SUM(C1356)=0),"ok",IF(AND(C1355&gt;0.1,SUM(C1356)=0),"wrong",IF(AND(C1355=0,SUM(C1356)&gt;0.1),"wrong"))))</f>
        <v>ok</v>
      </c>
    </row>
    <row r="1356" spans="1:13">
      <c r="A1356" s="139"/>
      <c r="B1356" s="139" t="s">
        <v>925</v>
      </c>
      <c r="C1356" s="140">
        <f>SUMIFS('Sgwrsiau&amp;Sesiynau holi ac ateb'!$F:$F,'Sgwrsiau&amp;Sesiynau holi ac ateb'!$B:$B,"Sesiwn Holi ac ateb",'Sgwrsiau&amp;Sesiynau holi ac ateb'!$E:$E,"Dwyieithog")</f>
        <v>0</v>
      </c>
      <c r="D1356" s="102">
        <f t="shared" si="763"/>
        <v>1</v>
      </c>
      <c r="E1356" s="14"/>
      <c r="F1356" s="14"/>
      <c r="G1356" s="14"/>
      <c r="H1356" s="14"/>
      <c r="I1356" s="14"/>
      <c r="J1356" s="14"/>
      <c r="K1356" s="100"/>
      <c r="L1356" s="102">
        <f t="shared" si="761"/>
        <v>1</v>
      </c>
      <c r="M1356" s="102" t="str">
        <f t="shared" ref="M1356" si="783">IF(C1355&lt;=C1356,"ok","wrong")</f>
        <v>ok</v>
      </c>
    </row>
    <row r="1357" spans="1:13">
      <c r="A1357" s="139"/>
      <c r="B1357" s="139" t="s">
        <v>926</v>
      </c>
      <c r="C1357" s="140">
        <f>COUNTIFS('Sgwrsiau&amp;Sesiynau holi ac ateb'!$B:$B,"Sesiwn Holi ac ateb",'Sgwrsiau&amp;Sesiynau holi ac ateb'!$E:$E,"Amlieithog")</f>
        <v>0</v>
      </c>
      <c r="D1357" s="102">
        <f t="shared" si="763"/>
        <v>1</v>
      </c>
      <c r="E1357" s="14"/>
      <c r="F1357" s="14"/>
      <c r="G1357" s="14"/>
      <c r="H1357" s="14"/>
      <c r="I1357" s="14"/>
      <c r="J1357" s="14"/>
      <c r="K1357" s="100"/>
      <c r="L1357" s="102">
        <f t="shared" si="761"/>
        <v>1</v>
      </c>
      <c r="M1357" s="102" t="str">
        <f t="shared" ref="M1357" si="784">IF(AND(C1357&gt;=0.1,SUM(C1358)&gt;=C1357),"ok",IF(AND(C1357=0,SUM(C1358)=0),"ok",IF(AND(C1357&gt;0.1,SUM(C1358)=0),"wrong",IF(AND(C1357=0,SUM(C1358)&gt;0.1),"wrong"))))</f>
        <v>ok</v>
      </c>
    </row>
    <row r="1358" spans="1:13">
      <c r="A1358" s="139"/>
      <c r="B1358" s="139" t="s">
        <v>927</v>
      </c>
      <c r="C1358" s="140">
        <f>SUMIFS('Sgwrsiau&amp;Sesiynau holi ac ateb'!$F:$F,'Sgwrsiau&amp;Sesiynau holi ac ateb'!$B:$B,"Sesiwn Holi ac ateb",'Sgwrsiau&amp;Sesiynau holi ac ateb'!$E:$E,"Amlieithog")</f>
        <v>0</v>
      </c>
      <c r="D1358" s="102">
        <f t="shared" si="763"/>
        <v>1</v>
      </c>
      <c r="E1358" s="14"/>
      <c r="F1358" s="14"/>
      <c r="G1358" s="14"/>
      <c r="H1358" s="14"/>
      <c r="I1358" s="14"/>
      <c r="J1358" s="14"/>
      <c r="K1358" s="100"/>
      <c r="L1358" s="102">
        <f t="shared" si="761"/>
        <v>1</v>
      </c>
      <c r="M1358" s="102" t="str">
        <f t="shared" ref="M1358" si="785">IF(C1357&lt;=C1358,"ok","wrong")</f>
        <v>ok</v>
      </c>
    </row>
    <row r="1359" spans="1:13" ht="16">
      <c r="A1359" s="90"/>
      <c r="B1359" s="90"/>
      <c r="C1359" s="90"/>
      <c r="D1359" s="14"/>
      <c r="E1359" s="14"/>
      <c r="F1359" s="14"/>
      <c r="G1359" s="14"/>
      <c r="H1359" s="14"/>
      <c r="I1359" s="14"/>
      <c r="J1359" s="14"/>
      <c r="K1359" s="100"/>
      <c r="L1359" s="102"/>
      <c r="M1359" s="102"/>
    </row>
    <row r="1360" spans="1:13">
      <c r="A1360" s="141" t="s">
        <v>522</v>
      </c>
      <c r="B1360" s="141"/>
      <c r="C1360" s="141"/>
      <c r="D1360" s="14"/>
      <c r="E1360" s="14"/>
      <c r="F1360" s="14"/>
      <c r="G1360" s="14"/>
      <c r="H1360" s="14"/>
      <c r="I1360" s="14"/>
      <c r="J1360" s="14"/>
      <c r="K1360" s="100"/>
      <c r="L1360" s="102"/>
      <c r="M1360" s="102"/>
    </row>
    <row r="1361" spans="1:13">
      <c r="A1361" s="141" t="s">
        <v>928</v>
      </c>
      <c r="B1361" s="142" t="s">
        <v>289</v>
      </c>
      <c r="C1361" s="143">
        <f>COUNTIF('Perfformiad amgylcheddol'!$B:$B,"Oes")</f>
        <v>0</v>
      </c>
      <c r="D1361" s="14"/>
      <c r="E1361" s="14"/>
      <c r="F1361" s="14"/>
      <c r="G1361" s="14"/>
      <c r="H1361" s="14"/>
      <c r="I1361" s="14"/>
      <c r="J1361" s="14"/>
      <c r="K1361" s="100"/>
      <c r="L1361" s="102"/>
      <c r="M1361" s="102"/>
    </row>
    <row r="1362" spans="1:13">
      <c r="A1362" s="141"/>
      <c r="B1362" s="142" t="s">
        <v>290</v>
      </c>
      <c r="C1362" s="143">
        <f>COUNTIF('Perfformiad amgylcheddol'!$C:$C,"Oes")</f>
        <v>0</v>
      </c>
      <c r="D1362" s="14"/>
      <c r="E1362" s="14"/>
      <c r="F1362" s="14"/>
      <c r="G1362" s="14"/>
      <c r="H1362" s="14"/>
      <c r="I1362" s="14"/>
      <c r="J1362" s="14"/>
      <c r="K1362" s="100"/>
      <c r="L1362" s="102"/>
      <c r="M1362" s="102"/>
    </row>
    <row r="1363" spans="1:13">
      <c r="A1363" s="141"/>
      <c r="B1363" s="142" t="s">
        <v>929</v>
      </c>
      <c r="C1363" s="143">
        <f>COUNTIF('Perfformiad amgylcheddol'!$D:$D,"Oes")</f>
        <v>0</v>
      </c>
      <c r="D1363" s="14"/>
      <c r="E1363" s="14"/>
      <c r="F1363" s="14"/>
      <c r="G1363" s="14"/>
      <c r="H1363" s="14"/>
      <c r="I1363" s="14"/>
      <c r="J1363" s="14"/>
      <c r="K1363" s="100"/>
      <c r="L1363" s="102"/>
      <c r="M1363" s="102"/>
    </row>
    <row r="1364" spans="1:13">
      <c r="A1364" s="141"/>
      <c r="B1364" s="142" t="s">
        <v>170</v>
      </c>
      <c r="C1364" s="143">
        <f>COUNTIF('Perfformiad amgylcheddol'!$E:$E,"Oes")</f>
        <v>0</v>
      </c>
      <c r="D1364" s="14"/>
      <c r="E1364" s="14"/>
      <c r="F1364" s="14"/>
      <c r="G1364" s="14"/>
      <c r="H1364" s="14"/>
      <c r="I1364" s="14"/>
      <c r="J1364" s="14"/>
      <c r="K1364" s="100"/>
      <c r="L1364" s="102"/>
      <c r="M1364" s="102"/>
    </row>
    <row r="1365" spans="1:13">
      <c r="A1365" s="141" t="s">
        <v>930</v>
      </c>
      <c r="B1365" s="142" t="s">
        <v>931</v>
      </c>
      <c r="C1365" s="143">
        <f>COUNTIF('Perfformiad amgylcheddol'!$J:$J,"Oes")</f>
        <v>0</v>
      </c>
      <c r="D1365" s="14"/>
      <c r="E1365" s="14"/>
      <c r="F1365" s="14"/>
      <c r="G1365" s="14"/>
      <c r="H1365" s="14"/>
      <c r="I1365" s="14"/>
      <c r="J1365" s="14"/>
      <c r="K1365" s="100"/>
      <c r="L1365" s="102"/>
      <c r="M1365" s="102"/>
    </row>
    <row r="1366" spans="1:13" ht="16">
      <c r="A1366" s="90"/>
      <c r="B1366" s="90"/>
      <c r="C1366" s="90"/>
      <c r="D1366" s="14"/>
      <c r="E1366" s="14"/>
      <c r="F1366" s="14"/>
      <c r="G1366" s="14"/>
      <c r="H1366" s="14"/>
      <c r="I1366" s="14"/>
      <c r="J1366" s="14"/>
      <c r="K1366" s="100"/>
      <c r="L1366" s="102"/>
      <c r="M1366" s="102"/>
    </row>
  </sheetData>
  <mergeCells count="4">
    <mergeCell ref="B2:C2"/>
    <mergeCell ref="B10:C10"/>
    <mergeCell ref="A17:A29"/>
    <mergeCell ref="A386:C386"/>
  </mergeCells>
  <conditionalFormatting sqref="D936:D937">
    <cfRule type="iconSet" priority="254">
      <iconSet iconSet="3Symbols2">
        <cfvo type="percent" val="0"/>
        <cfvo type="num" val="0"/>
        <cfvo type="num" val="1"/>
      </iconSet>
    </cfRule>
  </conditionalFormatting>
  <conditionalFormatting sqref="D1242">
    <cfRule type="iconSet" priority="253">
      <iconSet iconSet="3Symbols2">
        <cfvo type="percent" val="0"/>
        <cfvo type="num" val="0"/>
        <cfvo type="num" val="1"/>
      </iconSet>
    </cfRule>
  </conditionalFormatting>
  <conditionalFormatting sqref="D438:D440">
    <cfRule type="iconSet" priority="255">
      <iconSet iconSet="3Symbols2">
        <cfvo type="percent" val="0"/>
        <cfvo type="num" val="0"/>
        <cfvo type="num" val="1"/>
      </iconSet>
    </cfRule>
  </conditionalFormatting>
  <conditionalFormatting sqref="D44">
    <cfRule type="iconSet" priority="252">
      <iconSet iconSet="3Symbols2">
        <cfvo type="percent" val="0"/>
        <cfvo type="num" val="0"/>
        <cfvo type="num" val="1"/>
      </iconSet>
    </cfRule>
  </conditionalFormatting>
  <conditionalFormatting sqref="D46">
    <cfRule type="iconSet" priority="251">
      <iconSet iconSet="3Symbols2">
        <cfvo type="percent" val="0"/>
        <cfvo type="num" val="0"/>
        <cfvo type="num" val="1"/>
      </iconSet>
    </cfRule>
  </conditionalFormatting>
  <conditionalFormatting sqref="D48">
    <cfRule type="iconSet" priority="250">
      <iconSet iconSet="3Symbols2">
        <cfvo type="percent" val="0"/>
        <cfvo type="num" val="0"/>
        <cfvo type="num" val="1"/>
      </iconSet>
    </cfRule>
  </conditionalFormatting>
  <conditionalFormatting sqref="D50">
    <cfRule type="iconSet" priority="249">
      <iconSet iconSet="3Symbols2">
        <cfvo type="percent" val="0"/>
        <cfvo type="num" val="0"/>
        <cfvo type="num" val="1"/>
      </iconSet>
    </cfRule>
  </conditionalFormatting>
  <conditionalFormatting sqref="D52">
    <cfRule type="iconSet" priority="248">
      <iconSet iconSet="3Symbols2">
        <cfvo type="percent" val="0"/>
        <cfvo type="num" val="0"/>
        <cfvo type="num" val="1"/>
      </iconSet>
    </cfRule>
  </conditionalFormatting>
  <conditionalFormatting sqref="D54">
    <cfRule type="iconSet" priority="247">
      <iconSet iconSet="3Symbols2">
        <cfvo type="percent" val="0"/>
        <cfvo type="num" val="0"/>
        <cfvo type="num" val="1"/>
      </iconSet>
    </cfRule>
  </conditionalFormatting>
  <conditionalFormatting sqref="D56">
    <cfRule type="iconSet" priority="246">
      <iconSet iconSet="3Symbols2">
        <cfvo type="percent" val="0"/>
        <cfvo type="num" val="0"/>
        <cfvo type="num" val="1"/>
      </iconSet>
    </cfRule>
  </conditionalFormatting>
  <conditionalFormatting sqref="D58">
    <cfRule type="iconSet" priority="245">
      <iconSet iconSet="3Symbols2">
        <cfvo type="percent" val="0"/>
        <cfvo type="num" val="0"/>
        <cfvo type="num" val="1"/>
      </iconSet>
    </cfRule>
  </conditionalFormatting>
  <conditionalFormatting sqref="D60">
    <cfRule type="iconSet" priority="244">
      <iconSet iconSet="3Symbols2">
        <cfvo type="percent" val="0"/>
        <cfvo type="num" val="0"/>
        <cfvo type="num" val="1"/>
      </iconSet>
    </cfRule>
  </conditionalFormatting>
  <conditionalFormatting sqref="D62">
    <cfRule type="iconSet" priority="243">
      <iconSet iconSet="3Symbols2">
        <cfvo type="percent" val="0"/>
        <cfvo type="num" val="0"/>
        <cfvo type="num" val="1"/>
      </iconSet>
    </cfRule>
  </conditionalFormatting>
  <conditionalFormatting sqref="D64">
    <cfRule type="iconSet" priority="242">
      <iconSet iconSet="3Symbols2">
        <cfvo type="percent" val="0"/>
        <cfvo type="num" val="0"/>
        <cfvo type="num" val="1"/>
      </iconSet>
    </cfRule>
  </conditionalFormatting>
  <conditionalFormatting sqref="D66">
    <cfRule type="iconSet" priority="241">
      <iconSet iconSet="3Symbols2">
        <cfvo type="percent" val="0"/>
        <cfvo type="num" val="0"/>
        <cfvo type="num" val="1"/>
      </iconSet>
    </cfRule>
  </conditionalFormatting>
  <conditionalFormatting sqref="D68">
    <cfRule type="iconSet" priority="240">
      <iconSet iconSet="3Symbols2">
        <cfvo type="percent" val="0"/>
        <cfvo type="num" val="0"/>
        <cfvo type="num" val="1"/>
      </iconSet>
    </cfRule>
  </conditionalFormatting>
  <conditionalFormatting sqref="D70">
    <cfRule type="iconSet" priority="239">
      <iconSet iconSet="3Symbols2">
        <cfvo type="percent" val="0"/>
        <cfvo type="num" val="0"/>
        <cfvo type="num" val="1"/>
      </iconSet>
    </cfRule>
  </conditionalFormatting>
  <conditionalFormatting sqref="D72">
    <cfRule type="iconSet" priority="238">
      <iconSet iconSet="3Symbols2">
        <cfvo type="percent" val="0"/>
        <cfvo type="num" val="0"/>
        <cfvo type="num" val="1"/>
      </iconSet>
    </cfRule>
  </conditionalFormatting>
  <conditionalFormatting sqref="D74">
    <cfRule type="iconSet" priority="237">
      <iconSet iconSet="3Symbols2">
        <cfvo type="percent" val="0"/>
        <cfvo type="num" val="0"/>
        <cfvo type="num" val="1"/>
      </iconSet>
    </cfRule>
  </conditionalFormatting>
  <conditionalFormatting sqref="D76">
    <cfRule type="iconSet" priority="236">
      <iconSet iconSet="3Symbols2">
        <cfvo type="percent" val="0"/>
        <cfvo type="num" val="0"/>
        <cfvo type="num" val="1"/>
      </iconSet>
    </cfRule>
  </conditionalFormatting>
  <conditionalFormatting sqref="D78">
    <cfRule type="iconSet" priority="235">
      <iconSet iconSet="3Symbols2">
        <cfvo type="percent" val="0"/>
        <cfvo type="num" val="0"/>
        <cfvo type="num" val="1"/>
      </iconSet>
    </cfRule>
  </conditionalFormatting>
  <conditionalFormatting sqref="D79">
    <cfRule type="iconSet" priority="234">
      <iconSet iconSet="3Symbols2">
        <cfvo type="percent" val="0"/>
        <cfvo type="num" val="0"/>
        <cfvo type="num" val="1"/>
      </iconSet>
    </cfRule>
  </conditionalFormatting>
  <conditionalFormatting sqref="D80">
    <cfRule type="iconSet" priority="233">
      <iconSet iconSet="3Symbols2">
        <cfvo type="percent" val="0"/>
        <cfvo type="num" val="0"/>
        <cfvo type="num" val="1"/>
      </iconSet>
    </cfRule>
  </conditionalFormatting>
  <conditionalFormatting sqref="D81">
    <cfRule type="iconSet" priority="232">
      <iconSet iconSet="3Symbols2">
        <cfvo type="percent" val="0"/>
        <cfvo type="num" val="0"/>
        <cfvo type="num" val="1"/>
      </iconSet>
    </cfRule>
  </conditionalFormatting>
  <conditionalFormatting sqref="D82">
    <cfRule type="iconSet" priority="231">
      <iconSet iconSet="3Symbols2">
        <cfvo type="percent" val="0"/>
        <cfvo type="num" val="0"/>
        <cfvo type="num" val="1"/>
      </iconSet>
    </cfRule>
  </conditionalFormatting>
  <conditionalFormatting sqref="D83">
    <cfRule type="iconSet" priority="230">
      <iconSet iconSet="3Symbols2">
        <cfvo type="percent" val="0"/>
        <cfvo type="num" val="0"/>
        <cfvo type="num" val="1"/>
      </iconSet>
    </cfRule>
  </conditionalFormatting>
  <conditionalFormatting sqref="D84">
    <cfRule type="iconSet" priority="229">
      <iconSet iconSet="3Symbols2">
        <cfvo type="percent" val="0"/>
        <cfvo type="num" val="0"/>
        <cfvo type="num" val="1"/>
      </iconSet>
    </cfRule>
  </conditionalFormatting>
  <conditionalFormatting sqref="D85">
    <cfRule type="iconSet" priority="228">
      <iconSet iconSet="3Symbols2">
        <cfvo type="percent" val="0"/>
        <cfvo type="num" val="0"/>
        <cfvo type="num" val="1"/>
      </iconSet>
    </cfRule>
  </conditionalFormatting>
  <conditionalFormatting sqref="D86">
    <cfRule type="iconSet" priority="227">
      <iconSet iconSet="3Symbols2">
        <cfvo type="percent" val="0"/>
        <cfvo type="num" val="0"/>
        <cfvo type="num" val="1"/>
      </iconSet>
    </cfRule>
  </conditionalFormatting>
  <conditionalFormatting sqref="D88">
    <cfRule type="iconSet" priority="226">
      <iconSet iconSet="3Symbols2">
        <cfvo type="percent" val="0"/>
        <cfvo type="num" val="0"/>
        <cfvo type="num" val="1"/>
      </iconSet>
    </cfRule>
  </conditionalFormatting>
  <conditionalFormatting sqref="D89">
    <cfRule type="iconSet" priority="225">
      <iconSet iconSet="3Symbols2">
        <cfvo type="percent" val="0"/>
        <cfvo type="num" val="0"/>
        <cfvo type="num" val="1"/>
      </iconSet>
    </cfRule>
  </conditionalFormatting>
  <conditionalFormatting sqref="D90">
    <cfRule type="iconSet" priority="224">
      <iconSet iconSet="3Symbols2">
        <cfvo type="percent" val="0"/>
        <cfvo type="num" val="0"/>
        <cfvo type="num" val="1"/>
      </iconSet>
    </cfRule>
  </conditionalFormatting>
  <conditionalFormatting sqref="D91">
    <cfRule type="iconSet" priority="223">
      <iconSet iconSet="3Symbols2">
        <cfvo type="percent" val="0"/>
        <cfvo type="num" val="0"/>
        <cfvo type="num" val="1"/>
      </iconSet>
    </cfRule>
  </conditionalFormatting>
  <conditionalFormatting sqref="D138:D139">
    <cfRule type="iconSet" priority="221">
      <iconSet iconSet="3Symbols2">
        <cfvo type="percent" val="0"/>
        <cfvo type="num" val="0"/>
        <cfvo type="num" val="1"/>
      </iconSet>
    </cfRule>
  </conditionalFormatting>
  <conditionalFormatting sqref="D140:D257">
    <cfRule type="iconSet" priority="220">
      <iconSet iconSet="3Symbols2">
        <cfvo type="percent" val="0"/>
        <cfvo type="num" val="0"/>
        <cfvo type="num" val="1"/>
      </iconSet>
    </cfRule>
  </conditionalFormatting>
  <conditionalFormatting sqref="D262:D381">
    <cfRule type="iconSet" priority="219">
      <iconSet iconSet="3Symbols2">
        <cfvo type="percent" val="0"/>
        <cfvo type="num" val="0"/>
        <cfvo type="num" val="1"/>
      </iconSet>
    </cfRule>
  </conditionalFormatting>
  <conditionalFormatting sqref="D387:D437">
    <cfRule type="iconSet" priority="222">
      <iconSet iconSet="3Symbols2">
        <cfvo type="percent" val="0"/>
        <cfvo type="num" val="0"/>
        <cfvo type="num" val="1"/>
      </iconSet>
    </cfRule>
  </conditionalFormatting>
  <conditionalFormatting sqref="D458:D459">
    <cfRule type="iconSet" priority="218">
      <iconSet iconSet="3Symbols2">
        <cfvo type="percent" val="0"/>
        <cfvo type="num" val="0"/>
        <cfvo type="num" val="1"/>
      </iconSet>
    </cfRule>
  </conditionalFormatting>
  <conditionalFormatting sqref="D460:D461">
    <cfRule type="iconSet" priority="217">
      <iconSet iconSet="3Symbols2">
        <cfvo type="percent" val="0"/>
        <cfvo type="num" val="0"/>
        <cfvo type="num" val="1"/>
      </iconSet>
    </cfRule>
  </conditionalFormatting>
  <conditionalFormatting sqref="D462:D463">
    <cfRule type="iconSet" priority="216">
      <iconSet iconSet="3Symbols2">
        <cfvo type="percent" val="0"/>
        <cfvo type="num" val="0"/>
        <cfvo type="num" val="1"/>
      </iconSet>
    </cfRule>
  </conditionalFormatting>
  <conditionalFormatting sqref="D464:D465">
    <cfRule type="iconSet" priority="215">
      <iconSet iconSet="3Symbols2">
        <cfvo type="percent" val="0"/>
        <cfvo type="num" val="0"/>
        <cfvo type="num" val="1"/>
      </iconSet>
    </cfRule>
  </conditionalFormatting>
  <conditionalFormatting sqref="D466:D467">
    <cfRule type="iconSet" priority="214">
      <iconSet iconSet="3Symbols2">
        <cfvo type="percent" val="0"/>
        <cfvo type="num" val="0"/>
        <cfvo type="num" val="1"/>
      </iconSet>
    </cfRule>
  </conditionalFormatting>
  <conditionalFormatting sqref="D468:D469">
    <cfRule type="iconSet" priority="213">
      <iconSet iconSet="3Symbols2">
        <cfvo type="percent" val="0"/>
        <cfvo type="num" val="0"/>
        <cfvo type="num" val="1"/>
      </iconSet>
    </cfRule>
  </conditionalFormatting>
  <conditionalFormatting sqref="D470:D471">
    <cfRule type="iconSet" priority="212">
      <iconSet iconSet="3Symbols2">
        <cfvo type="percent" val="0"/>
        <cfvo type="num" val="0"/>
        <cfvo type="num" val="1"/>
      </iconSet>
    </cfRule>
  </conditionalFormatting>
  <conditionalFormatting sqref="D472:D473">
    <cfRule type="iconSet" priority="211">
      <iconSet iconSet="3Symbols2">
        <cfvo type="percent" val="0"/>
        <cfvo type="num" val="0"/>
        <cfvo type="num" val="1"/>
      </iconSet>
    </cfRule>
  </conditionalFormatting>
  <conditionalFormatting sqref="D474:D475">
    <cfRule type="iconSet" priority="210">
      <iconSet iconSet="3Symbols2">
        <cfvo type="percent" val="0"/>
        <cfvo type="num" val="0"/>
        <cfvo type="num" val="1"/>
      </iconSet>
    </cfRule>
  </conditionalFormatting>
  <conditionalFormatting sqref="D476:D477">
    <cfRule type="iconSet" priority="209">
      <iconSet iconSet="3Symbols2">
        <cfvo type="percent" val="0"/>
        <cfvo type="num" val="0"/>
        <cfvo type="num" val="1"/>
      </iconSet>
    </cfRule>
  </conditionalFormatting>
  <conditionalFormatting sqref="D478:D479">
    <cfRule type="iconSet" priority="208">
      <iconSet iconSet="3Symbols2">
        <cfvo type="percent" val="0"/>
        <cfvo type="num" val="0"/>
        <cfvo type="num" val="1"/>
      </iconSet>
    </cfRule>
  </conditionalFormatting>
  <conditionalFormatting sqref="D480:D481">
    <cfRule type="iconSet" priority="207">
      <iconSet iconSet="3Symbols2">
        <cfvo type="percent" val="0"/>
        <cfvo type="num" val="0"/>
        <cfvo type="num" val="1"/>
      </iconSet>
    </cfRule>
  </conditionalFormatting>
  <conditionalFormatting sqref="D482:D483">
    <cfRule type="iconSet" priority="206">
      <iconSet iconSet="3Symbols2">
        <cfvo type="percent" val="0"/>
        <cfvo type="num" val="0"/>
        <cfvo type="num" val="1"/>
      </iconSet>
    </cfRule>
  </conditionalFormatting>
  <conditionalFormatting sqref="D484:D485">
    <cfRule type="iconSet" priority="205">
      <iconSet iconSet="3Symbols2">
        <cfvo type="percent" val="0"/>
        <cfvo type="num" val="0"/>
        <cfvo type="num" val="1"/>
      </iconSet>
    </cfRule>
  </conditionalFormatting>
  <conditionalFormatting sqref="D486:D487">
    <cfRule type="iconSet" priority="204">
      <iconSet iconSet="3Symbols2">
        <cfvo type="percent" val="0"/>
        <cfvo type="num" val="0"/>
        <cfvo type="num" val="1"/>
      </iconSet>
    </cfRule>
  </conditionalFormatting>
  <conditionalFormatting sqref="D488:D489">
    <cfRule type="iconSet" priority="203">
      <iconSet iconSet="3Symbols2">
        <cfvo type="percent" val="0"/>
        <cfvo type="num" val="0"/>
        <cfvo type="num" val="1"/>
      </iconSet>
    </cfRule>
  </conditionalFormatting>
  <conditionalFormatting sqref="D490:D491">
    <cfRule type="iconSet" priority="202">
      <iconSet iconSet="3Symbols2">
        <cfvo type="percent" val="0"/>
        <cfvo type="num" val="0"/>
        <cfvo type="num" val="1"/>
      </iconSet>
    </cfRule>
  </conditionalFormatting>
  <conditionalFormatting sqref="D492:D493">
    <cfRule type="iconSet" priority="201">
      <iconSet iconSet="3Symbols2">
        <cfvo type="percent" val="0"/>
        <cfvo type="num" val="0"/>
        <cfvo type="num" val="1"/>
      </iconSet>
    </cfRule>
  </conditionalFormatting>
  <conditionalFormatting sqref="D494:D495">
    <cfRule type="iconSet" priority="200">
      <iconSet iconSet="3Symbols2">
        <cfvo type="percent" val="0"/>
        <cfvo type="num" val="0"/>
        <cfvo type="num" val="1"/>
      </iconSet>
    </cfRule>
  </conditionalFormatting>
  <conditionalFormatting sqref="D496:D497">
    <cfRule type="iconSet" priority="199">
      <iconSet iconSet="3Symbols2">
        <cfvo type="percent" val="0"/>
        <cfvo type="num" val="0"/>
        <cfvo type="num" val="1"/>
      </iconSet>
    </cfRule>
  </conditionalFormatting>
  <conditionalFormatting sqref="D498:D499">
    <cfRule type="iconSet" priority="198">
      <iconSet iconSet="3Symbols2">
        <cfvo type="percent" val="0"/>
        <cfvo type="num" val="0"/>
        <cfvo type="num" val="1"/>
      </iconSet>
    </cfRule>
  </conditionalFormatting>
  <conditionalFormatting sqref="D500:D501">
    <cfRule type="iconSet" priority="197">
      <iconSet iconSet="3Symbols2">
        <cfvo type="percent" val="0"/>
        <cfvo type="num" val="0"/>
        <cfvo type="num" val="1"/>
      </iconSet>
    </cfRule>
  </conditionalFormatting>
  <conditionalFormatting sqref="D502:D503">
    <cfRule type="iconSet" priority="196">
      <iconSet iconSet="3Symbols2">
        <cfvo type="percent" val="0"/>
        <cfvo type="num" val="0"/>
        <cfvo type="num" val="1"/>
      </iconSet>
    </cfRule>
  </conditionalFormatting>
  <conditionalFormatting sqref="D504:D505">
    <cfRule type="iconSet" priority="195">
      <iconSet iconSet="3Symbols2">
        <cfvo type="percent" val="0"/>
        <cfvo type="num" val="0"/>
        <cfvo type="num" val="1"/>
      </iconSet>
    </cfRule>
  </conditionalFormatting>
  <conditionalFormatting sqref="D506:D507">
    <cfRule type="iconSet" priority="194">
      <iconSet iconSet="3Symbols2">
        <cfvo type="percent" val="0"/>
        <cfvo type="num" val="0"/>
        <cfvo type="num" val="1"/>
      </iconSet>
    </cfRule>
  </conditionalFormatting>
  <conditionalFormatting sqref="D508:D509">
    <cfRule type="iconSet" priority="193">
      <iconSet iconSet="3Symbols2">
        <cfvo type="percent" val="0"/>
        <cfvo type="num" val="0"/>
        <cfvo type="num" val="1"/>
      </iconSet>
    </cfRule>
  </conditionalFormatting>
  <conditionalFormatting sqref="D510:D511">
    <cfRule type="iconSet" priority="192">
      <iconSet iconSet="3Symbols2">
        <cfvo type="percent" val="0"/>
        <cfvo type="num" val="0"/>
        <cfvo type="num" val="1"/>
      </iconSet>
    </cfRule>
  </conditionalFormatting>
  <conditionalFormatting sqref="D512:D513">
    <cfRule type="iconSet" priority="191">
      <iconSet iconSet="3Symbols2">
        <cfvo type="percent" val="0"/>
        <cfvo type="num" val="0"/>
        <cfvo type="num" val="1"/>
      </iconSet>
    </cfRule>
  </conditionalFormatting>
  <conditionalFormatting sqref="D514:D515">
    <cfRule type="iconSet" priority="190">
      <iconSet iconSet="3Symbols2">
        <cfvo type="percent" val="0"/>
        <cfvo type="num" val="0"/>
        <cfvo type="num" val="1"/>
      </iconSet>
    </cfRule>
  </conditionalFormatting>
  <conditionalFormatting sqref="D516:D517">
    <cfRule type="iconSet" priority="189">
      <iconSet iconSet="3Symbols2">
        <cfvo type="percent" val="0"/>
        <cfvo type="num" val="0"/>
        <cfvo type="num" val="1"/>
      </iconSet>
    </cfRule>
  </conditionalFormatting>
  <conditionalFormatting sqref="D518:D519">
    <cfRule type="iconSet" priority="188">
      <iconSet iconSet="3Symbols2">
        <cfvo type="percent" val="0"/>
        <cfvo type="num" val="0"/>
        <cfvo type="num" val="1"/>
      </iconSet>
    </cfRule>
  </conditionalFormatting>
  <conditionalFormatting sqref="D520:D521">
    <cfRule type="iconSet" priority="187">
      <iconSet iconSet="3Symbols2">
        <cfvo type="percent" val="0"/>
        <cfvo type="num" val="0"/>
        <cfvo type="num" val="1"/>
      </iconSet>
    </cfRule>
  </conditionalFormatting>
  <conditionalFormatting sqref="D522:D523">
    <cfRule type="iconSet" priority="186">
      <iconSet iconSet="3Symbols2">
        <cfvo type="percent" val="0"/>
        <cfvo type="num" val="0"/>
        <cfvo type="num" val="1"/>
      </iconSet>
    </cfRule>
  </conditionalFormatting>
  <conditionalFormatting sqref="D524:D525">
    <cfRule type="iconSet" priority="185">
      <iconSet iconSet="3Symbols2">
        <cfvo type="percent" val="0"/>
        <cfvo type="num" val="0"/>
        <cfvo type="num" val="1"/>
      </iconSet>
    </cfRule>
  </conditionalFormatting>
  <conditionalFormatting sqref="D526:D527">
    <cfRule type="iconSet" priority="184">
      <iconSet iconSet="3Symbols2">
        <cfvo type="percent" val="0"/>
        <cfvo type="num" val="0"/>
        <cfvo type="num" val="1"/>
      </iconSet>
    </cfRule>
  </conditionalFormatting>
  <conditionalFormatting sqref="D528:D529">
    <cfRule type="iconSet" priority="183">
      <iconSet iconSet="3Symbols2">
        <cfvo type="percent" val="0"/>
        <cfvo type="num" val="0"/>
        <cfvo type="num" val="1"/>
      </iconSet>
    </cfRule>
  </conditionalFormatting>
  <conditionalFormatting sqref="D530:D531">
    <cfRule type="iconSet" priority="182">
      <iconSet iconSet="3Symbols2">
        <cfvo type="percent" val="0"/>
        <cfvo type="num" val="0"/>
        <cfvo type="num" val="1"/>
      </iconSet>
    </cfRule>
  </conditionalFormatting>
  <conditionalFormatting sqref="D532:D533">
    <cfRule type="iconSet" priority="181">
      <iconSet iconSet="3Symbols2">
        <cfvo type="percent" val="0"/>
        <cfvo type="num" val="0"/>
        <cfvo type="num" val="1"/>
      </iconSet>
    </cfRule>
  </conditionalFormatting>
  <conditionalFormatting sqref="D534:D535">
    <cfRule type="iconSet" priority="180">
      <iconSet iconSet="3Symbols2">
        <cfvo type="percent" val="0"/>
        <cfvo type="num" val="0"/>
        <cfvo type="num" val="1"/>
      </iconSet>
    </cfRule>
  </conditionalFormatting>
  <conditionalFormatting sqref="D536:D537">
    <cfRule type="iconSet" priority="179">
      <iconSet iconSet="3Symbols2">
        <cfvo type="percent" val="0"/>
        <cfvo type="num" val="0"/>
        <cfvo type="num" val="1"/>
      </iconSet>
    </cfRule>
  </conditionalFormatting>
  <conditionalFormatting sqref="D538:D539">
    <cfRule type="iconSet" priority="178">
      <iconSet iconSet="3Symbols2">
        <cfvo type="percent" val="0"/>
        <cfvo type="num" val="0"/>
        <cfvo type="num" val="1"/>
      </iconSet>
    </cfRule>
  </conditionalFormatting>
  <conditionalFormatting sqref="D540:D541">
    <cfRule type="iconSet" priority="177">
      <iconSet iconSet="3Symbols2">
        <cfvo type="percent" val="0"/>
        <cfvo type="num" val="0"/>
        <cfvo type="num" val="1"/>
      </iconSet>
    </cfRule>
  </conditionalFormatting>
  <conditionalFormatting sqref="D542:D543">
    <cfRule type="iconSet" priority="176">
      <iconSet iconSet="3Symbols2">
        <cfvo type="percent" val="0"/>
        <cfvo type="num" val="0"/>
        <cfvo type="num" val="1"/>
      </iconSet>
    </cfRule>
  </conditionalFormatting>
  <conditionalFormatting sqref="D544:D545">
    <cfRule type="iconSet" priority="175">
      <iconSet iconSet="3Symbols2">
        <cfvo type="percent" val="0"/>
        <cfvo type="num" val="0"/>
        <cfvo type="num" val="1"/>
      </iconSet>
    </cfRule>
  </conditionalFormatting>
  <conditionalFormatting sqref="D546:D547">
    <cfRule type="iconSet" priority="174">
      <iconSet iconSet="3Symbols2">
        <cfvo type="percent" val="0"/>
        <cfvo type="num" val="0"/>
        <cfvo type="num" val="1"/>
      </iconSet>
    </cfRule>
  </conditionalFormatting>
  <conditionalFormatting sqref="D548:D549">
    <cfRule type="iconSet" priority="173">
      <iconSet iconSet="3Symbols2">
        <cfvo type="percent" val="0"/>
        <cfvo type="num" val="0"/>
        <cfvo type="num" val="1"/>
      </iconSet>
    </cfRule>
  </conditionalFormatting>
  <conditionalFormatting sqref="D550:D551">
    <cfRule type="iconSet" priority="172">
      <iconSet iconSet="3Symbols2">
        <cfvo type="percent" val="0"/>
        <cfvo type="num" val="0"/>
        <cfvo type="num" val="1"/>
      </iconSet>
    </cfRule>
  </conditionalFormatting>
  <conditionalFormatting sqref="D552:D553">
    <cfRule type="iconSet" priority="171">
      <iconSet iconSet="3Symbols2">
        <cfvo type="percent" val="0"/>
        <cfvo type="num" val="0"/>
        <cfvo type="num" val="1"/>
      </iconSet>
    </cfRule>
  </conditionalFormatting>
  <conditionalFormatting sqref="D554:D555">
    <cfRule type="iconSet" priority="170">
      <iconSet iconSet="3Symbols2">
        <cfvo type="percent" val="0"/>
        <cfvo type="num" val="0"/>
        <cfvo type="num" val="1"/>
      </iconSet>
    </cfRule>
  </conditionalFormatting>
  <conditionalFormatting sqref="D556:D557">
    <cfRule type="iconSet" priority="169">
      <iconSet iconSet="3Symbols2">
        <cfvo type="percent" val="0"/>
        <cfvo type="num" val="0"/>
        <cfvo type="num" val="1"/>
      </iconSet>
    </cfRule>
  </conditionalFormatting>
  <conditionalFormatting sqref="D558:D559">
    <cfRule type="iconSet" priority="168">
      <iconSet iconSet="3Symbols2">
        <cfvo type="percent" val="0"/>
        <cfvo type="num" val="0"/>
        <cfvo type="num" val="1"/>
      </iconSet>
    </cfRule>
  </conditionalFormatting>
  <conditionalFormatting sqref="D560:D561">
    <cfRule type="iconSet" priority="167">
      <iconSet iconSet="3Symbols2">
        <cfvo type="percent" val="0"/>
        <cfvo type="num" val="0"/>
        <cfvo type="num" val="1"/>
      </iconSet>
    </cfRule>
  </conditionalFormatting>
  <conditionalFormatting sqref="D562:D563">
    <cfRule type="iconSet" priority="166">
      <iconSet iconSet="3Symbols2">
        <cfvo type="percent" val="0"/>
        <cfvo type="num" val="0"/>
        <cfvo type="num" val="1"/>
      </iconSet>
    </cfRule>
  </conditionalFormatting>
  <conditionalFormatting sqref="D564:D565">
    <cfRule type="iconSet" priority="165">
      <iconSet iconSet="3Symbols2">
        <cfvo type="percent" val="0"/>
        <cfvo type="num" val="0"/>
        <cfvo type="num" val="1"/>
      </iconSet>
    </cfRule>
  </conditionalFormatting>
  <conditionalFormatting sqref="D566:D567">
    <cfRule type="iconSet" priority="164">
      <iconSet iconSet="3Symbols2">
        <cfvo type="percent" val="0"/>
        <cfvo type="num" val="0"/>
        <cfvo type="num" val="1"/>
      </iconSet>
    </cfRule>
  </conditionalFormatting>
  <conditionalFormatting sqref="D568:D569">
    <cfRule type="iconSet" priority="163">
      <iconSet iconSet="3Symbols2">
        <cfvo type="percent" val="0"/>
        <cfvo type="num" val="0"/>
        <cfvo type="num" val="1"/>
      </iconSet>
    </cfRule>
  </conditionalFormatting>
  <conditionalFormatting sqref="D570:D571">
    <cfRule type="iconSet" priority="162">
      <iconSet iconSet="3Symbols2">
        <cfvo type="percent" val="0"/>
        <cfvo type="num" val="0"/>
        <cfvo type="num" val="1"/>
      </iconSet>
    </cfRule>
  </conditionalFormatting>
  <conditionalFormatting sqref="D572:D573">
    <cfRule type="iconSet" priority="161">
      <iconSet iconSet="3Symbols2">
        <cfvo type="percent" val="0"/>
        <cfvo type="num" val="0"/>
        <cfvo type="num" val="1"/>
      </iconSet>
    </cfRule>
  </conditionalFormatting>
  <conditionalFormatting sqref="D574:D575">
    <cfRule type="iconSet" priority="160">
      <iconSet iconSet="3Symbols2">
        <cfvo type="percent" val="0"/>
        <cfvo type="num" val="0"/>
        <cfvo type="num" val="1"/>
      </iconSet>
    </cfRule>
  </conditionalFormatting>
  <conditionalFormatting sqref="D576:D577">
    <cfRule type="iconSet" priority="159">
      <iconSet iconSet="3Symbols2">
        <cfvo type="percent" val="0"/>
        <cfvo type="num" val="0"/>
        <cfvo type="num" val="1"/>
      </iconSet>
    </cfRule>
  </conditionalFormatting>
  <conditionalFormatting sqref="D641:D642">
    <cfRule type="iconSet" priority="158">
      <iconSet iconSet="3Symbols2">
        <cfvo type="percent" val="0"/>
        <cfvo type="num" val="0"/>
        <cfvo type="num" val="1"/>
      </iconSet>
    </cfRule>
  </conditionalFormatting>
  <conditionalFormatting sqref="D643:D644">
    <cfRule type="iconSet" priority="157">
      <iconSet iconSet="3Symbols2">
        <cfvo type="percent" val="0"/>
        <cfvo type="num" val="0"/>
        <cfvo type="num" val="1"/>
      </iconSet>
    </cfRule>
  </conditionalFormatting>
  <conditionalFormatting sqref="D645:D646">
    <cfRule type="iconSet" priority="156">
      <iconSet iconSet="3Symbols2">
        <cfvo type="percent" val="0"/>
        <cfvo type="num" val="0"/>
        <cfvo type="num" val="1"/>
      </iconSet>
    </cfRule>
  </conditionalFormatting>
  <conditionalFormatting sqref="D647:D648">
    <cfRule type="iconSet" priority="155">
      <iconSet iconSet="3Symbols2">
        <cfvo type="percent" val="0"/>
        <cfvo type="num" val="0"/>
        <cfvo type="num" val="1"/>
      </iconSet>
    </cfRule>
  </conditionalFormatting>
  <conditionalFormatting sqref="D649:D650">
    <cfRule type="iconSet" priority="154">
      <iconSet iconSet="3Symbols2">
        <cfvo type="percent" val="0"/>
        <cfvo type="num" val="0"/>
        <cfvo type="num" val="1"/>
      </iconSet>
    </cfRule>
  </conditionalFormatting>
  <conditionalFormatting sqref="D651:D652">
    <cfRule type="iconSet" priority="153">
      <iconSet iconSet="3Symbols2">
        <cfvo type="percent" val="0"/>
        <cfvo type="num" val="0"/>
        <cfvo type="num" val="1"/>
      </iconSet>
    </cfRule>
  </conditionalFormatting>
  <conditionalFormatting sqref="D653:D654">
    <cfRule type="iconSet" priority="152">
      <iconSet iconSet="3Symbols2">
        <cfvo type="percent" val="0"/>
        <cfvo type="num" val="0"/>
        <cfvo type="num" val="1"/>
      </iconSet>
    </cfRule>
  </conditionalFormatting>
  <conditionalFormatting sqref="D655:D656">
    <cfRule type="iconSet" priority="151">
      <iconSet iconSet="3Symbols2">
        <cfvo type="percent" val="0"/>
        <cfvo type="num" val="0"/>
        <cfvo type="num" val="1"/>
      </iconSet>
    </cfRule>
  </conditionalFormatting>
  <conditionalFormatting sqref="D657:D658">
    <cfRule type="iconSet" priority="150">
      <iconSet iconSet="3Symbols2">
        <cfvo type="percent" val="0"/>
        <cfvo type="num" val="0"/>
        <cfvo type="num" val="1"/>
      </iconSet>
    </cfRule>
  </conditionalFormatting>
  <conditionalFormatting sqref="D659:D660">
    <cfRule type="iconSet" priority="149">
      <iconSet iconSet="3Symbols2">
        <cfvo type="percent" val="0"/>
        <cfvo type="num" val="0"/>
        <cfvo type="num" val="1"/>
      </iconSet>
    </cfRule>
  </conditionalFormatting>
  <conditionalFormatting sqref="D661:D662">
    <cfRule type="iconSet" priority="148">
      <iconSet iconSet="3Symbols2">
        <cfvo type="percent" val="0"/>
        <cfvo type="num" val="0"/>
        <cfvo type="num" val="1"/>
      </iconSet>
    </cfRule>
  </conditionalFormatting>
  <conditionalFormatting sqref="D663:D664">
    <cfRule type="iconSet" priority="147">
      <iconSet iconSet="3Symbols2">
        <cfvo type="percent" val="0"/>
        <cfvo type="num" val="0"/>
        <cfvo type="num" val="1"/>
      </iconSet>
    </cfRule>
  </conditionalFormatting>
  <conditionalFormatting sqref="D665:D666">
    <cfRule type="iconSet" priority="146">
      <iconSet iconSet="3Symbols2">
        <cfvo type="percent" val="0"/>
        <cfvo type="num" val="0"/>
        <cfvo type="num" val="1"/>
      </iconSet>
    </cfRule>
  </conditionalFormatting>
  <conditionalFormatting sqref="D667:D668">
    <cfRule type="iconSet" priority="145">
      <iconSet iconSet="3Symbols2">
        <cfvo type="percent" val="0"/>
        <cfvo type="num" val="0"/>
        <cfvo type="num" val="1"/>
      </iconSet>
    </cfRule>
  </conditionalFormatting>
  <conditionalFormatting sqref="D669:D670">
    <cfRule type="iconSet" priority="144">
      <iconSet iconSet="3Symbols2">
        <cfvo type="percent" val="0"/>
        <cfvo type="num" val="0"/>
        <cfvo type="num" val="1"/>
      </iconSet>
    </cfRule>
  </conditionalFormatting>
  <conditionalFormatting sqref="D671:D672">
    <cfRule type="iconSet" priority="143">
      <iconSet iconSet="3Symbols2">
        <cfvo type="percent" val="0"/>
        <cfvo type="num" val="0"/>
        <cfvo type="num" val="1"/>
      </iconSet>
    </cfRule>
  </conditionalFormatting>
  <conditionalFormatting sqref="D673:D674">
    <cfRule type="iconSet" priority="142">
      <iconSet iconSet="3Symbols2">
        <cfvo type="percent" val="0"/>
        <cfvo type="num" val="0"/>
        <cfvo type="num" val="1"/>
      </iconSet>
    </cfRule>
  </conditionalFormatting>
  <conditionalFormatting sqref="D675:D676">
    <cfRule type="iconSet" priority="141">
      <iconSet iconSet="3Symbols2">
        <cfvo type="percent" val="0"/>
        <cfvo type="num" val="0"/>
        <cfvo type="num" val="1"/>
      </iconSet>
    </cfRule>
  </conditionalFormatting>
  <conditionalFormatting sqref="D677:D678">
    <cfRule type="iconSet" priority="140">
      <iconSet iconSet="3Symbols2">
        <cfvo type="percent" val="0"/>
        <cfvo type="num" val="0"/>
        <cfvo type="num" val="1"/>
      </iconSet>
    </cfRule>
  </conditionalFormatting>
  <conditionalFormatting sqref="D679:D680">
    <cfRule type="iconSet" priority="139">
      <iconSet iconSet="3Symbols2">
        <cfvo type="percent" val="0"/>
        <cfvo type="num" val="0"/>
        <cfvo type="num" val="1"/>
      </iconSet>
    </cfRule>
  </conditionalFormatting>
  <conditionalFormatting sqref="D681:D682">
    <cfRule type="iconSet" priority="138">
      <iconSet iconSet="3Symbols2">
        <cfvo type="percent" val="0"/>
        <cfvo type="num" val="0"/>
        <cfvo type="num" val="1"/>
      </iconSet>
    </cfRule>
  </conditionalFormatting>
  <conditionalFormatting sqref="D683:D684">
    <cfRule type="iconSet" priority="137">
      <iconSet iconSet="3Symbols2">
        <cfvo type="percent" val="0"/>
        <cfvo type="num" val="0"/>
        <cfvo type="num" val="1"/>
      </iconSet>
    </cfRule>
  </conditionalFormatting>
  <conditionalFormatting sqref="D685:D686">
    <cfRule type="iconSet" priority="136">
      <iconSet iconSet="3Symbols2">
        <cfvo type="percent" val="0"/>
        <cfvo type="num" val="0"/>
        <cfvo type="num" val="1"/>
      </iconSet>
    </cfRule>
  </conditionalFormatting>
  <conditionalFormatting sqref="D687:D688">
    <cfRule type="iconSet" priority="135">
      <iconSet iconSet="3Symbols2">
        <cfvo type="percent" val="0"/>
        <cfvo type="num" val="0"/>
        <cfvo type="num" val="1"/>
      </iconSet>
    </cfRule>
  </conditionalFormatting>
  <conditionalFormatting sqref="D689:D690">
    <cfRule type="iconSet" priority="134">
      <iconSet iconSet="3Symbols2">
        <cfvo type="percent" val="0"/>
        <cfvo type="num" val="0"/>
        <cfvo type="num" val="1"/>
      </iconSet>
    </cfRule>
  </conditionalFormatting>
  <conditionalFormatting sqref="D691:D692">
    <cfRule type="iconSet" priority="133">
      <iconSet iconSet="3Symbols2">
        <cfvo type="percent" val="0"/>
        <cfvo type="num" val="0"/>
        <cfvo type="num" val="1"/>
      </iconSet>
    </cfRule>
  </conditionalFormatting>
  <conditionalFormatting sqref="D693:D694">
    <cfRule type="iconSet" priority="132">
      <iconSet iconSet="3Symbols2">
        <cfvo type="percent" val="0"/>
        <cfvo type="num" val="0"/>
        <cfvo type="num" val="1"/>
      </iconSet>
    </cfRule>
  </conditionalFormatting>
  <conditionalFormatting sqref="D695:D696">
    <cfRule type="iconSet" priority="131">
      <iconSet iconSet="3Symbols2">
        <cfvo type="percent" val="0"/>
        <cfvo type="num" val="0"/>
        <cfvo type="num" val="1"/>
      </iconSet>
    </cfRule>
  </conditionalFormatting>
  <conditionalFormatting sqref="D697:D698">
    <cfRule type="iconSet" priority="130">
      <iconSet iconSet="3Symbols2">
        <cfvo type="percent" val="0"/>
        <cfvo type="num" val="0"/>
        <cfvo type="num" val="1"/>
      </iconSet>
    </cfRule>
  </conditionalFormatting>
  <conditionalFormatting sqref="D699:D700">
    <cfRule type="iconSet" priority="129">
      <iconSet iconSet="3Symbols2">
        <cfvo type="percent" val="0"/>
        <cfvo type="num" val="0"/>
        <cfvo type="num" val="1"/>
      </iconSet>
    </cfRule>
  </conditionalFormatting>
  <conditionalFormatting sqref="D701:D702">
    <cfRule type="iconSet" priority="128">
      <iconSet iconSet="3Symbols2">
        <cfvo type="percent" val="0"/>
        <cfvo type="num" val="0"/>
        <cfvo type="num" val="1"/>
      </iconSet>
    </cfRule>
  </conditionalFormatting>
  <conditionalFormatting sqref="D703:D704">
    <cfRule type="iconSet" priority="127">
      <iconSet iconSet="3Symbols2">
        <cfvo type="percent" val="0"/>
        <cfvo type="num" val="0"/>
        <cfvo type="num" val="1"/>
      </iconSet>
    </cfRule>
  </conditionalFormatting>
  <conditionalFormatting sqref="D705:D706">
    <cfRule type="iconSet" priority="126">
      <iconSet iconSet="3Symbols2">
        <cfvo type="percent" val="0"/>
        <cfvo type="num" val="0"/>
        <cfvo type="num" val="1"/>
      </iconSet>
    </cfRule>
  </conditionalFormatting>
  <conditionalFormatting sqref="D707:D708">
    <cfRule type="iconSet" priority="125">
      <iconSet iconSet="3Symbols2">
        <cfvo type="percent" val="0"/>
        <cfvo type="num" val="0"/>
        <cfvo type="num" val="1"/>
      </iconSet>
    </cfRule>
  </conditionalFormatting>
  <conditionalFormatting sqref="D709:D710">
    <cfRule type="iconSet" priority="124">
      <iconSet iconSet="3Symbols2">
        <cfvo type="percent" val="0"/>
        <cfvo type="num" val="0"/>
        <cfvo type="num" val="1"/>
      </iconSet>
    </cfRule>
  </conditionalFormatting>
  <conditionalFormatting sqref="D711:D712">
    <cfRule type="iconSet" priority="123">
      <iconSet iconSet="3Symbols2">
        <cfvo type="percent" val="0"/>
        <cfvo type="num" val="0"/>
        <cfvo type="num" val="1"/>
      </iconSet>
    </cfRule>
  </conditionalFormatting>
  <conditionalFormatting sqref="D738:D739">
    <cfRule type="iconSet" priority="122">
      <iconSet iconSet="3Symbols2">
        <cfvo type="percent" val="0"/>
        <cfvo type="num" val="0"/>
        <cfvo type="num" val="1"/>
      </iconSet>
    </cfRule>
  </conditionalFormatting>
  <conditionalFormatting sqref="D740:D741">
    <cfRule type="iconSet" priority="121">
      <iconSet iconSet="3Symbols2">
        <cfvo type="percent" val="0"/>
        <cfvo type="num" val="0"/>
        <cfvo type="num" val="1"/>
      </iconSet>
    </cfRule>
  </conditionalFormatting>
  <conditionalFormatting sqref="D742:D743">
    <cfRule type="iconSet" priority="120">
      <iconSet iconSet="3Symbols2">
        <cfvo type="percent" val="0"/>
        <cfvo type="num" val="0"/>
        <cfvo type="num" val="1"/>
      </iconSet>
    </cfRule>
  </conditionalFormatting>
  <conditionalFormatting sqref="D744:D745">
    <cfRule type="iconSet" priority="119">
      <iconSet iconSet="3Symbols2">
        <cfvo type="percent" val="0"/>
        <cfvo type="num" val="0"/>
        <cfvo type="num" val="1"/>
      </iconSet>
    </cfRule>
  </conditionalFormatting>
  <conditionalFormatting sqref="D746:D747">
    <cfRule type="iconSet" priority="118">
      <iconSet iconSet="3Symbols2">
        <cfvo type="percent" val="0"/>
        <cfvo type="num" val="0"/>
        <cfvo type="num" val="1"/>
      </iconSet>
    </cfRule>
  </conditionalFormatting>
  <conditionalFormatting sqref="D748:D749">
    <cfRule type="iconSet" priority="117">
      <iconSet iconSet="3Symbols2">
        <cfvo type="percent" val="0"/>
        <cfvo type="num" val="0"/>
        <cfvo type="num" val="1"/>
      </iconSet>
    </cfRule>
  </conditionalFormatting>
  <conditionalFormatting sqref="D952:D954">
    <cfRule type="iconSet" priority="116">
      <iconSet iconSet="3Symbols2">
        <cfvo type="percent" val="0"/>
        <cfvo type="num" val="0"/>
        <cfvo type="num" val="1"/>
      </iconSet>
    </cfRule>
  </conditionalFormatting>
  <conditionalFormatting sqref="D955:D957">
    <cfRule type="iconSet" priority="115">
      <iconSet iconSet="3Symbols2">
        <cfvo type="percent" val="0"/>
        <cfvo type="num" val="0"/>
        <cfvo type="num" val="1"/>
      </iconSet>
    </cfRule>
  </conditionalFormatting>
  <conditionalFormatting sqref="D958:D960">
    <cfRule type="iconSet" priority="114">
      <iconSet iconSet="3Symbols2">
        <cfvo type="percent" val="0"/>
        <cfvo type="num" val="0"/>
        <cfvo type="num" val="1"/>
      </iconSet>
    </cfRule>
  </conditionalFormatting>
  <conditionalFormatting sqref="D961:D963">
    <cfRule type="iconSet" priority="113">
      <iconSet iconSet="3Symbols2">
        <cfvo type="percent" val="0"/>
        <cfvo type="num" val="0"/>
        <cfvo type="num" val="1"/>
      </iconSet>
    </cfRule>
  </conditionalFormatting>
  <conditionalFormatting sqref="D964:D966">
    <cfRule type="iconSet" priority="112">
      <iconSet iconSet="3Symbols2">
        <cfvo type="percent" val="0"/>
        <cfvo type="num" val="0"/>
        <cfvo type="num" val="1"/>
      </iconSet>
    </cfRule>
  </conditionalFormatting>
  <conditionalFormatting sqref="D967:D969">
    <cfRule type="iconSet" priority="111">
      <iconSet iconSet="3Symbols2">
        <cfvo type="percent" val="0"/>
        <cfvo type="num" val="0"/>
        <cfvo type="num" val="1"/>
      </iconSet>
    </cfRule>
  </conditionalFormatting>
  <conditionalFormatting sqref="D970:D972">
    <cfRule type="iconSet" priority="110">
      <iconSet iconSet="3Symbols2">
        <cfvo type="percent" val="0"/>
        <cfvo type="num" val="0"/>
        <cfvo type="num" val="1"/>
      </iconSet>
    </cfRule>
  </conditionalFormatting>
  <conditionalFormatting sqref="D973:D975">
    <cfRule type="iconSet" priority="109">
      <iconSet iconSet="3Symbols2">
        <cfvo type="percent" val="0"/>
        <cfvo type="num" val="0"/>
        <cfvo type="num" val="1"/>
      </iconSet>
    </cfRule>
  </conditionalFormatting>
  <conditionalFormatting sqref="D976:D978">
    <cfRule type="iconSet" priority="108">
      <iconSet iconSet="3Symbols2">
        <cfvo type="percent" val="0"/>
        <cfvo type="num" val="0"/>
        <cfvo type="num" val="1"/>
      </iconSet>
    </cfRule>
  </conditionalFormatting>
  <conditionalFormatting sqref="D979:D981">
    <cfRule type="iconSet" priority="107">
      <iconSet iconSet="3Symbols2">
        <cfvo type="percent" val="0"/>
        <cfvo type="num" val="0"/>
        <cfvo type="num" val="1"/>
      </iconSet>
    </cfRule>
  </conditionalFormatting>
  <conditionalFormatting sqref="D982:D984">
    <cfRule type="iconSet" priority="106">
      <iconSet iconSet="3Symbols2">
        <cfvo type="percent" val="0"/>
        <cfvo type="num" val="0"/>
        <cfvo type="num" val="1"/>
      </iconSet>
    </cfRule>
  </conditionalFormatting>
  <conditionalFormatting sqref="D985:D987">
    <cfRule type="iconSet" priority="105">
      <iconSet iconSet="3Symbols2">
        <cfvo type="percent" val="0"/>
        <cfvo type="num" val="0"/>
        <cfvo type="num" val="1"/>
      </iconSet>
    </cfRule>
  </conditionalFormatting>
  <conditionalFormatting sqref="D988:D990">
    <cfRule type="iconSet" priority="104">
      <iconSet iconSet="3Symbols2">
        <cfvo type="percent" val="0"/>
        <cfvo type="num" val="0"/>
        <cfvo type="num" val="1"/>
      </iconSet>
    </cfRule>
  </conditionalFormatting>
  <conditionalFormatting sqref="D991:D993">
    <cfRule type="iconSet" priority="103">
      <iconSet iconSet="3Symbols2">
        <cfvo type="percent" val="0"/>
        <cfvo type="num" val="0"/>
        <cfvo type="num" val="1"/>
      </iconSet>
    </cfRule>
  </conditionalFormatting>
  <conditionalFormatting sqref="D994:D996">
    <cfRule type="iconSet" priority="102">
      <iconSet iconSet="3Symbols2">
        <cfvo type="percent" val="0"/>
        <cfvo type="num" val="0"/>
        <cfvo type="num" val="1"/>
      </iconSet>
    </cfRule>
  </conditionalFormatting>
  <conditionalFormatting sqref="D997:D999">
    <cfRule type="iconSet" priority="101">
      <iconSet iconSet="3Symbols2">
        <cfvo type="percent" val="0"/>
        <cfvo type="num" val="0"/>
        <cfvo type="num" val="1"/>
      </iconSet>
    </cfRule>
  </conditionalFormatting>
  <conditionalFormatting sqref="D1000:D1002">
    <cfRule type="iconSet" priority="100">
      <iconSet iconSet="3Symbols2">
        <cfvo type="percent" val="0"/>
        <cfvo type="num" val="0"/>
        <cfvo type="num" val="1"/>
      </iconSet>
    </cfRule>
  </conditionalFormatting>
  <conditionalFormatting sqref="D1003:D1005">
    <cfRule type="iconSet" priority="99">
      <iconSet iconSet="3Symbols2">
        <cfvo type="percent" val="0"/>
        <cfvo type="num" val="0"/>
        <cfvo type="num" val="1"/>
      </iconSet>
    </cfRule>
  </conditionalFormatting>
  <conditionalFormatting sqref="D1006:D1008">
    <cfRule type="iconSet" priority="98">
      <iconSet iconSet="3Symbols2">
        <cfvo type="percent" val="0"/>
        <cfvo type="num" val="0"/>
        <cfvo type="num" val="1"/>
      </iconSet>
    </cfRule>
  </conditionalFormatting>
  <conditionalFormatting sqref="D1009:D1011">
    <cfRule type="iconSet" priority="97">
      <iconSet iconSet="3Symbols2">
        <cfvo type="percent" val="0"/>
        <cfvo type="num" val="0"/>
        <cfvo type="num" val="1"/>
      </iconSet>
    </cfRule>
  </conditionalFormatting>
  <conditionalFormatting sqref="D1012:D1014">
    <cfRule type="iconSet" priority="96">
      <iconSet iconSet="3Symbols2">
        <cfvo type="percent" val="0"/>
        <cfvo type="num" val="0"/>
        <cfvo type="num" val="1"/>
      </iconSet>
    </cfRule>
  </conditionalFormatting>
  <conditionalFormatting sqref="D1015:D1017">
    <cfRule type="iconSet" priority="95">
      <iconSet iconSet="3Symbols2">
        <cfvo type="percent" val="0"/>
        <cfvo type="num" val="0"/>
        <cfvo type="num" val="1"/>
      </iconSet>
    </cfRule>
  </conditionalFormatting>
  <conditionalFormatting sqref="D1018:D1020">
    <cfRule type="iconSet" priority="94">
      <iconSet iconSet="3Symbols2">
        <cfvo type="percent" val="0"/>
        <cfvo type="num" val="0"/>
        <cfvo type="num" val="1"/>
      </iconSet>
    </cfRule>
  </conditionalFormatting>
  <conditionalFormatting sqref="D1021:D1023">
    <cfRule type="iconSet" priority="93">
      <iconSet iconSet="3Symbols2">
        <cfvo type="percent" val="0"/>
        <cfvo type="num" val="0"/>
        <cfvo type="num" val="1"/>
      </iconSet>
    </cfRule>
  </conditionalFormatting>
  <conditionalFormatting sqref="D1024:D1026">
    <cfRule type="iconSet" priority="92">
      <iconSet iconSet="3Symbols2">
        <cfvo type="percent" val="0"/>
        <cfvo type="num" val="0"/>
        <cfvo type="num" val="1"/>
      </iconSet>
    </cfRule>
  </conditionalFormatting>
  <conditionalFormatting sqref="D1027:D1029">
    <cfRule type="iconSet" priority="91">
      <iconSet iconSet="3Symbols2">
        <cfvo type="percent" val="0"/>
        <cfvo type="num" val="0"/>
        <cfvo type="num" val="1"/>
      </iconSet>
    </cfRule>
  </conditionalFormatting>
  <conditionalFormatting sqref="D1030:D1032">
    <cfRule type="iconSet" priority="90">
      <iconSet iconSet="3Symbols2">
        <cfvo type="percent" val="0"/>
        <cfvo type="num" val="0"/>
        <cfvo type="num" val="1"/>
      </iconSet>
    </cfRule>
  </conditionalFormatting>
  <conditionalFormatting sqref="D1033:D1035">
    <cfRule type="iconSet" priority="89">
      <iconSet iconSet="3Symbols2">
        <cfvo type="percent" val="0"/>
        <cfvo type="num" val="0"/>
        <cfvo type="num" val="1"/>
      </iconSet>
    </cfRule>
  </conditionalFormatting>
  <conditionalFormatting sqref="D1036:D1038">
    <cfRule type="iconSet" priority="88">
      <iconSet iconSet="3Symbols2">
        <cfvo type="percent" val="0"/>
        <cfvo type="num" val="0"/>
        <cfvo type="num" val="1"/>
      </iconSet>
    </cfRule>
  </conditionalFormatting>
  <conditionalFormatting sqref="D1039:D1041">
    <cfRule type="iconSet" priority="87">
      <iconSet iconSet="3Symbols2">
        <cfvo type="percent" val="0"/>
        <cfvo type="num" val="0"/>
        <cfvo type="num" val="1"/>
      </iconSet>
    </cfRule>
  </conditionalFormatting>
  <conditionalFormatting sqref="D1042:D1044">
    <cfRule type="iconSet" priority="86">
      <iconSet iconSet="3Symbols2">
        <cfvo type="percent" val="0"/>
        <cfvo type="num" val="0"/>
        <cfvo type="num" val="1"/>
      </iconSet>
    </cfRule>
  </conditionalFormatting>
  <conditionalFormatting sqref="D1045:D1047">
    <cfRule type="iconSet" priority="85">
      <iconSet iconSet="3Symbols2">
        <cfvo type="percent" val="0"/>
        <cfvo type="num" val="0"/>
        <cfvo type="num" val="1"/>
      </iconSet>
    </cfRule>
  </conditionalFormatting>
  <conditionalFormatting sqref="D1048:D1050">
    <cfRule type="iconSet" priority="84">
      <iconSet iconSet="3Symbols2">
        <cfvo type="percent" val="0"/>
        <cfvo type="num" val="0"/>
        <cfvo type="num" val="1"/>
      </iconSet>
    </cfRule>
  </conditionalFormatting>
  <conditionalFormatting sqref="D1051:D1053">
    <cfRule type="iconSet" priority="83">
      <iconSet iconSet="3Symbols2">
        <cfvo type="percent" val="0"/>
        <cfvo type="num" val="0"/>
        <cfvo type="num" val="1"/>
      </iconSet>
    </cfRule>
  </conditionalFormatting>
  <conditionalFormatting sqref="D1054:D1056">
    <cfRule type="iconSet" priority="82">
      <iconSet iconSet="3Symbols2">
        <cfvo type="percent" val="0"/>
        <cfvo type="num" val="0"/>
        <cfvo type="num" val="1"/>
      </iconSet>
    </cfRule>
  </conditionalFormatting>
  <conditionalFormatting sqref="D1057:D1059">
    <cfRule type="iconSet" priority="81">
      <iconSet iconSet="3Symbols2">
        <cfvo type="percent" val="0"/>
        <cfvo type="num" val="0"/>
        <cfvo type="num" val="1"/>
      </iconSet>
    </cfRule>
  </conditionalFormatting>
  <conditionalFormatting sqref="D1060:D1062">
    <cfRule type="iconSet" priority="80">
      <iconSet iconSet="3Symbols2">
        <cfvo type="percent" val="0"/>
        <cfvo type="num" val="0"/>
        <cfvo type="num" val="1"/>
      </iconSet>
    </cfRule>
  </conditionalFormatting>
  <conditionalFormatting sqref="D1063:D1065">
    <cfRule type="iconSet" priority="79">
      <iconSet iconSet="3Symbols2">
        <cfvo type="percent" val="0"/>
        <cfvo type="num" val="0"/>
        <cfvo type="num" val="1"/>
      </iconSet>
    </cfRule>
  </conditionalFormatting>
  <conditionalFormatting sqref="D1066:D1068">
    <cfRule type="iconSet" priority="78">
      <iconSet iconSet="3Symbols2">
        <cfvo type="percent" val="0"/>
        <cfvo type="num" val="0"/>
        <cfvo type="num" val="1"/>
      </iconSet>
    </cfRule>
  </conditionalFormatting>
  <conditionalFormatting sqref="D1069:D1071">
    <cfRule type="iconSet" priority="77">
      <iconSet iconSet="3Symbols2">
        <cfvo type="percent" val="0"/>
        <cfvo type="num" val="0"/>
        <cfvo type="num" val="1"/>
      </iconSet>
    </cfRule>
  </conditionalFormatting>
  <conditionalFormatting sqref="D1072:D1074">
    <cfRule type="iconSet" priority="76">
      <iconSet iconSet="3Symbols2">
        <cfvo type="percent" val="0"/>
        <cfvo type="num" val="0"/>
        <cfvo type="num" val="1"/>
      </iconSet>
    </cfRule>
  </conditionalFormatting>
  <conditionalFormatting sqref="D1075:D1077">
    <cfRule type="iconSet" priority="75">
      <iconSet iconSet="3Symbols2">
        <cfvo type="percent" val="0"/>
        <cfvo type="num" val="0"/>
        <cfvo type="num" val="1"/>
      </iconSet>
    </cfRule>
  </conditionalFormatting>
  <conditionalFormatting sqref="D1078:D1080">
    <cfRule type="iconSet" priority="74">
      <iconSet iconSet="3Symbols2">
        <cfvo type="percent" val="0"/>
        <cfvo type="num" val="0"/>
        <cfvo type="num" val="1"/>
      </iconSet>
    </cfRule>
  </conditionalFormatting>
  <conditionalFormatting sqref="D1081:D1083">
    <cfRule type="iconSet" priority="73">
      <iconSet iconSet="3Symbols2">
        <cfvo type="percent" val="0"/>
        <cfvo type="num" val="0"/>
        <cfvo type="num" val="1"/>
      </iconSet>
    </cfRule>
  </conditionalFormatting>
  <conditionalFormatting sqref="D1084:D1086">
    <cfRule type="iconSet" priority="72">
      <iconSet iconSet="3Symbols2">
        <cfvo type="percent" val="0"/>
        <cfvo type="num" val="0"/>
        <cfvo type="num" val="1"/>
      </iconSet>
    </cfRule>
  </conditionalFormatting>
  <conditionalFormatting sqref="D1087:D1089">
    <cfRule type="iconSet" priority="71">
      <iconSet iconSet="3Symbols2">
        <cfvo type="percent" val="0"/>
        <cfvo type="num" val="0"/>
        <cfvo type="num" val="1"/>
      </iconSet>
    </cfRule>
  </conditionalFormatting>
  <conditionalFormatting sqref="D1090:D1092">
    <cfRule type="iconSet" priority="70">
      <iconSet iconSet="3Symbols2">
        <cfvo type="percent" val="0"/>
        <cfvo type="num" val="0"/>
        <cfvo type="num" val="1"/>
      </iconSet>
    </cfRule>
  </conditionalFormatting>
  <conditionalFormatting sqref="D1093:D1095">
    <cfRule type="iconSet" priority="69">
      <iconSet iconSet="3Symbols2">
        <cfvo type="percent" val="0"/>
        <cfvo type="num" val="0"/>
        <cfvo type="num" val="1"/>
      </iconSet>
    </cfRule>
  </conditionalFormatting>
  <conditionalFormatting sqref="D1096:D1098">
    <cfRule type="iconSet" priority="68">
      <iconSet iconSet="3Symbols2">
        <cfvo type="percent" val="0"/>
        <cfvo type="num" val="0"/>
        <cfvo type="num" val="1"/>
      </iconSet>
    </cfRule>
  </conditionalFormatting>
  <conditionalFormatting sqref="D1099:D1101">
    <cfRule type="iconSet" priority="67">
      <iconSet iconSet="3Symbols2">
        <cfvo type="percent" val="0"/>
        <cfvo type="num" val="0"/>
        <cfvo type="num" val="1"/>
      </iconSet>
    </cfRule>
  </conditionalFormatting>
  <conditionalFormatting sqref="D1102:D1104">
    <cfRule type="iconSet" priority="66">
      <iconSet iconSet="3Symbols2">
        <cfvo type="percent" val="0"/>
        <cfvo type="num" val="0"/>
        <cfvo type="num" val="1"/>
      </iconSet>
    </cfRule>
  </conditionalFormatting>
  <conditionalFormatting sqref="D1105:D1107">
    <cfRule type="iconSet" priority="65">
      <iconSet iconSet="3Symbols2">
        <cfvo type="percent" val="0"/>
        <cfvo type="num" val="0"/>
        <cfvo type="num" val="1"/>
      </iconSet>
    </cfRule>
  </conditionalFormatting>
  <conditionalFormatting sqref="D1108:D1110">
    <cfRule type="iconSet" priority="64">
      <iconSet iconSet="3Symbols2">
        <cfvo type="percent" val="0"/>
        <cfvo type="num" val="0"/>
        <cfvo type="num" val="1"/>
      </iconSet>
    </cfRule>
  </conditionalFormatting>
  <conditionalFormatting sqref="D1111:D1113">
    <cfRule type="iconSet" priority="63">
      <iconSet iconSet="3Symbols2">
        <cfvo type="percent" val="0"/>
        <cfvo type="num" val="0"/>
        <cfvo type="num" val="1"/>
      </iconSet>
    </cfRule>
  </conditionalFormatting>
  <conditionalFormatting sqref="D1114:D1116">
    <cfRule type="iconSet" priority="62">
      <iconSet iconSet="3Symbols2">
        <cfvo type="percent" val="0"/>
        <cfvo type="num" val="0"/>
        <cfvo type="num" val="1"/>
      </iconSet>
    </cfRule>
  </conditionalFormatting>
  <conditionalFormatting sqref="D1117:D1119">
    <cfRule type="iconSet" priority="61">
      <iconSet iconSet="3Symbols2">
        <cfvo type="percent" val="0"/>
        <cfvo type="num" val="0"/>
        <cfvo type="num" val="1"/>
      </iconSet>
    </cfRule>
  </conditionalFormatting>
  <conditionalFormatting sqref="D1120:D1122">
    <cfRule type="iconSet" priority="60">
      <iconSet iconSet="3Symbols2">
        <cfvo type="percent" val="0"/>
        <cfvo type="num" val="0"/>
        <cfvo type="num" val="1"/>
      </iconSet>
    </cfRule>
  </conditionalFormatting>
  <conditionalFormatting sqref="D1123:D1125">
    <cfRule type="iconSet" priority="59">
      <iconSet iconSet="3Symbols2">
        <cfvo type="percent" val="0"/>
        <cfvo type="num" val="0"/>
        <cfvo type="num" val="1"/>
      </iconSet>
    </cfRule>
  </conditionalFormatting>
  <conditionalFormatting sqref="D1126:D1128">
    <cfRule type="iconSet" priority="58">
      <iconSet iconSet="3Symbols2">
        <cfvo type="percent" val="0"/>
        <cfvo type="num" val="0"/>
        <cfvo type="num" val="1"/>
      </iconSet>
    </cfRule>
  </conditionalFormatting>
  <conditionalFormatting sqref="D1129:D1131">
    <cfRule type="iconSet" priority="57">
      <iconSet iconSet="3Symbols2">
        <cfvo type="percent" val="0"/>
        <cfvo type="num" val="0"/>
        <cfvo type="num" val="1"/>
      </iconSet>
    </cfRule>
  </conditionalFormatting>
  <conditionalFormatting sqref="D1132:D1134">
    <cfRule type="iconSet" priority="56">
      <iconSet iconSet="3Symbols2">
        <cfvo type="percent" val="0"/>
        <cfvo type="num" val="0"/>
        <cfvo type="num" val="1"/>
      </iconSet>
    </cfRule>
  </conditionalFormatting>
  <conditionalFormatting sqref="D1135:D1137">
    <cfRule type="iconSet" priority="55">
      <iconSet iconSet="3Symbols2">
        <cfvo type="percent" val="0"/>
        <cfvo type="num" val="0"/>
        <cfvo type="num" val="1"/>
      </iconSet>
    </cfRule>
  </conditionalFormatting>
  <conditionalFormatting sqref="D1138:D1140">
    <cfRule type="iconSet" priority="54">
      <iconSet iconSet="3Symbols2">
        <cfvo type="percent" val="0"/>
        <cfvo type="num" val="0"/>
        <cfvo type="num" val="1"/>
      </iconSet>
    </cfRule>
  </conditionalFormatting>
  <conditionalFormatting sqref="D1141:D1143">
    <cfRule type="iconSet" priority="53">
      <iconSet iconSet="3Symbols2">
        <cfvo type="percent" val="0"/>
        <cfvo type="num" val="0"/>
        <cfvo type="num" val="1"/>
      </iconSet>
    </cfRule>
  </conditionalFormatting>
  <conditionalFormatting sqref="D1144:D1146">
    <cfRule type="iconSet" priority="52">
      <iconSet iconSet="3Symbols2">
        <cfvo type="percent" val="0"/>
        <cfvo type="num" val="0"/>
        <cfvo type="num" val="1"/>
      </iconSet>
    </cfRule>
  </conditionalFormatting>
  <conditionalFormatting sqref="D1147:D1149">
    <cfRule type="iconSet" priority="51">
      <iconSet iconSet="3Symbols2">
        <cfvo type="percent" val="0"/>
        <cfvo type="num" val="0"/>
        <cfvo type="num" val="1"/>
      </iconSet>
    </cfRule>
  </conditionalFormatting>
  <conditionalFormatting sqref="D1150:D1152">
    <cfRule type="iconSet" priority="50">
      <iconSet iconSet="3Symbols2">
        <cfvo type="percent" val="0"/>
        <cfvo type="num" val="0"/>
        <cfvo type="num" val="1"/>
      </iconSet>
    </cfRule>
  </conditionalFormatting>
  <conditionalFormatting sqref="D1153:D1155">
    <cfRule type="iconSet" priority="49">
      <iconSet iconSet="3Symbols2">
        <cfvo type="percent" val="0"/>
        <cfvo type="num" val="0"/>
        <cfvo type="num" val="1"/>
      </iconSet>
    </cfRule>
  </conditionalFormatting>
  <conditionalFormatting sqref="D1156:D1158">
    <cfRule type="iconSet" priority="48">
      <iconSet iconSet="3Symbols2">
        <cfvo type="percent" val="0"/>
        <cfvo type="num" val="0"/>
        <cfvo type="num" val="1"/>
      </iconSet>
    </cfRule>
  </conditionalFormatting>
  <conditionalFormatting sqref="D1159:D1161">
    <cfRule type="iconSet" priority="47">
      <iconSet iconSet="3Symbols2">
        <cfvo type="percent" val="0"/>
        <cfvo type="num" val="0"/>
        <cfvo type="num" val="1"/>
      </iconSet>
    </cfRule>
  </conditionalFormatting>
  <conditionalFormatting sqref="D1162:D1164">
    <cfRule type="iconSet" priority="46">
      <iconSet iconSet="3Symbols2">
        <cfvo type="percent" val="0"/>
        <cfvo type="num" val="0"/>
        <cfvo type="num" val="1"/>
      </iconSet>
    </cfRule>
  </conditionalFormatting>
  <conditionalFormatting sqref="D1165:D1167">
    <cfRule type="iconSet" priority="45">
      <iconSet iconSet="3Symbols2">
        <cfvo type="percent" val="0"/>
        <cfvo type="num" val="0"/>
        <cfvo type="num" val="1"/>
      </iconSet>
    </cfRule>
  </conditionalFormatting>
  <conditionalFormatting sqref="D1168:D1170">
    <cfRule type="iconSet" priority="44">
      <iconSet iconSet="3Symbols2">
        <cfvo type="percent" val="0"/>
        <cfvo type="num" val="0"/>
        <cfvo type="num" val="1"/>
      </iconSet>
    </cfRule>
  </conditionalFormatting>
  <conditionalFormatting sqref="D1171:D1173">
    <cfRule type="iconSet" priority="43">
      <iconSet iconSet="3Symbols2">
        <cfvo type="percent" val="0"/>
        <cfvo type="num" val="0"/>
        <cfvo type="num" val="1"/>
      </iconSet>
    </cfRule>
  </conditionalFormatting>
  <conditionalFormatting sqref="D1174:D1176">
    <cfRule type="iconSet" priority="42">
      <iconSet iconSet="3Symbols2">
        <cfvo type="percent" val="0"/>
        <cfvo type="num" val="0"/>
        <cfvo type="num" val="1"/>
      </iconSet>
    </cfRule>
  </conditionalFormatting>
  <conditionalFormatting sqref="D1177:D1179">
    <cfRule type="iconSet" priority="41">
      <iconSet iconSet="3Symbols2">
        <cfvo type="percent" val="0"/>
        <cfvo type="num" val="0"/>
        <cfvo type="num" val="1"/>
      </iconSet>
    </cfRule>
  </conditionalFormatting>
  <conditionalFormatting sqref="D1180:D1182">
    <cfRule type="iconSet" priority="40">
      <iconSet iconSet="3Symbols2">
        <cfvo type="percent" val="0"/>
        <cfvo type="num" val="0"/>
        <cfvo type="num" val="1"/>
      </iconSet>
    </cfRule>
  </conditionalFormatting>
  <conditionalFormatting sqref="D1183:D1185">
    <cfRule type="iconSet" priority="39">
      <iconSet iconSet="3Symbols2">
        <cfvo type="percent" val="0"/>
        <cfvo type="num" val="0"/>
        <cfvo type="num" val="1"/>
      </iconSet>
    </cfRule>
  </conditionalFormatting>
  <conditionalFormatting sqref="D1186:D1188">
    <cfRule type="iconSet" priority="38">
      <iconSet iconSet="3Symbols2">
        <cfvo type="percent" val="0"/>
        <cfvo type="num" val="0"/>
        <cfvo type="num" val="1"/>
      </iconSet>
    </cfRule>
  </conditionalFormatting>
  <conditionalFormatting sqref="D1189:D1191">
    <cfRule type="iconSet" priority="37">
      <iconSet iconSet="3Symbols2">
        <cfvo type="percent" val="0"/>
        <cfvo type="num" val="0"/>
        <cfvo type="num" val="1"/>
      </iconSet>
    </cfRule>
  </conditionalFormatting>
  <conditionalFormatting sqref="D1192:D1194">
    <cfRule type="iconSet" priority="36">
      <iconSet iconSet="3Symbols2">
        <cfvo type="percent" val="0"/>
        <cfvo type="num" val="0"/>
        <cfvo type="num" val="1"/>
      </iconSet>
    </cfRule>
  </conditionalFormatting>
  <conditionalFormatting sqref="D1195:D1197">
    <cfRule type="iconSet" priority="35">
      <iconSet iconSet="3Symbols2">
        <cfvo type="percent" val="0"/>
        <cfvo type="num" val="0"/>
        <cfvo type="num" val="1"/>
      </iconSet>
    </cfRule>
  </conditionalFormatting>
  <conditionalFormatting sqref="D1198:D1200">
    <cfRule type="iconSet" priority="34">
      <iconSet iconSet="3Symbols2">
        <cfvo type="percent" val="0"/>
        <cfvo type="num" val="0"/>
        <cfvo type="num" val="1"/>
      </iconSet>
    </cfRule>
  </conditionalFormatting>
  <conditionalFormatting sqref="D1201:D1203">
    <cfRule type="iconSet" priority="33">
      <iconSet iconSet="3Symbols2">
        <cfvo type="percent" val="0"/>
        <cfvo type="num" val="0"/>
        <cfvo type="num" val="1"/>
      </iconSet>
    </cfRule>
  </conditionalFormatting>
  <conditionalFormatting sqref="D1204:D1206">
    <cfRule type="iconSet" priority="32">
      <iconSet iconSet="3Symbols2">
        <cfvo type="percent" val="0"/>
        <cfvo type="num" val="0"/>
        <cfvo type="num" val="1"/>
      </iconSet>
    </cfRule>
  </conditionalFormatting>
  <conditionalFormatting sqref="D1207:D1209">
    <cfRule type="iconSet" priority="31">
      <iconSet iconSet="3Symbols2">
        <cfvo type="percent" val="0"/>
        <cfvo type="num" val="0"/>
        <cfvo type="num" val="1"/>
      </iconSet>
    </cfRule>
  </conditionalFormatting>
  <conditionalFormatting sqref="D1210:D1212">
    <cfRule type="iconSet" priority="30">
      <iconSet iconSet="3Symbols2">
        <cfvo type="percent" val="0"/>
        <cfvo type="num" val="0"/>
        <cfvo type="num" val="1"/>
      </iconSet>
    </cfRule>
  </conditionalFormatting>
  <conditionalFormatting sqref="D1213:D1215">
    <cfRule type="iconSet" priority="29">
      <iconSet iconSet="3Symbols2">
        <cfvo type="percent" val="0"/>
        <cfvo type="num" val="0"/>
        <cfvo type="num" val="1"/>
      </iconSet>
    </cfRule>
  </conditionalFormatting>
  <conditionalFormatting sqref="D1216:D1218">
    <cfRule type="iconSet" priority="28">
      <iconSet iconSet="3Symbols2">
        <cfvo type="percent" val="0"/>
        <cfvo type="num" val="0"/>
        <cfvo type="num" val="1"/>
      </iconSet>
    </cfRule>
  </conditionalFormatting>
  <conditionalFormatting sqref="D1219:D1221">
    <cfRule type="iconSet" priority="27">
      <iconSet iconSet="3Symbols2">
        <cfvo type="percent" val="0"/>
        <cfvo type="num" val="0"/>
        <cfvo type="num" val="1"/>
      </iconSet>
    </cfRule>
  </conditionalFormatting>
  <conditionalFormatting sqref="D1251:D1253">
    <cfRule type="iconSet" priority="26">
      <iconSet iconSet="3Symbols2">
        <cfvo type="percent" val="0"/>
        <cfvo type="num" val="0"/>
        <cfvo type="num" val="1"/>
      </iconSet>
    </cfRule>
  </conditionalFormatting>
  <conditionalFormatting sqref="D1254:D1256">
    <cfRule type="iconSet" priority="25">
      <iconSet iconSet="3Symbols2">
        <cfvo type="percent" val="0"/>
        <cfvo type="num" val="0"/>
        <cfvo type="num" val="1"/>
      </iconSet>
    </cfRule>
  </conditionalFormatting>
  <conditionalFormatting sqref="D1257:D1259">
    <cfRule type="iconSet" priority="24">
      <iconSet iconSet="3Symbols2">
        <cfvo type="percent" val="0"/>
        <cfvo type="num" val="0"/>
        <cfvo type="num" val="1"/>
      </iconSet>
    </cfRule>
  </conditionalFormatting>
  <conditionalFormatting sqref="D1260:D1262">
    <cfRule type="iconSet" priority="23">
      <iconSet iconSet="3Symbols2">
        <cfvo type="percent" val="0"/>
        <cfvo type="num" val="0"/>
        <cfvo type="num" val="1"/>
      </iconSet>
    </cfRule>
  </conditionalFormatting>
  <conditionalFormatting sqref="D1263:D1265">
    <cfRule type="iconSet" priority="22">
      <iconSet iconSet="3Symbols2">
        <cfvo type="percent" val="0"/>
        <cfvo type="num" val="0"/>
        <cfvo type="num" val="1"/>
      </iconSet>
    </cfRule>
  </conditionalFormatting>
  <conditionalFormatting sqref="D1266:D1268">
    <cfRule type="iconSet" priority="21">
      <iconSet iconSet="3Symbols2">
        <cfvo type="percent" val="0"/>
        <cfvo type="num" val="0"/>
        <cfvo type="num" val="1"/>
      </iconSet>
    </cfRule>
  </conditionalFormatting>
  <conditionalFormatting sqref="D1269:D1271">
    <cfRule type="iconSet" priority="20">
      <iconSet iconSet="3Symbols2">
        <cfvo type="percent" val="0"/>
        <cfvo type="num" val="0"/>
        <cfvo type="num" val="1"/>
      </iconSet>
    </cfRule>
  </conditionalFormatting>
  <conditionalFormatting sqref="D1272:D1274">
    <cfRule type="iconSet" priority="19">
      <iconSet iconSet="3Symbols2">
        <cfvo type="percent" val="0"/>
        <cfvo type="num" val="0"/>
        <cfvo type="num" val="1"/>
      </iconSet>
    </cfRule>
  </conditionalFormatting>
  <conditionalFormatting sqref="D1275:D1277">
    <cfRule type="iconSet" priority="18">
      <iconSet iconSet="3Symbols2">
        <cfvo type="percent" val="0"/>
        <cfvo type="num" val="0"/>
        <cfvo type="num" val="1"/>
      </iconSet>
    </cfRule>
  </conditionalFormatting>
  <conditionalFormatting sqref="D1278:D1295">
    <cfRule type="iconSet" priority="17">
      <iconSet iconSet="3Symbols2">
        <cfvo type="percent" val="0"/>
        <cfvo type="num" val="0"/>
        <cfvo type="num" val="1"/>
      </iconSet>
    </cfRule>
  </conditionalFormatting>
  <conditionalFormatting sqref="D1339:D1340">
    <cfRule type="iconSet" priority="16">
      <iconSet iconSet="3Symbols2">
        <cfvo type="percent" val="0"/>
        <cfvo type="num" val="0"/>
        <cfvo type="num" val="1"/>
      </iconSet>
    </cfRule>
  </conditionalFormatting>
  <conditionalFormatting sqref="D1341:D1342">
    <cfRule type="iconSet" priority="15">
      <iconSet iconSet="3Symbols2">
        <cfvo type="percent" val="0"/>
        <cfvo type="num" val="0"/>
        <cfvo type="num" val="1"/>
      </iconSet>
    </cfRule>
  </conditionalFormatting>
  <conditionalFormatting sqref="D1343:D1344">
    <cfRule type="iconSet" priority="14">
      <iconSet iconSet="3Symbols2">
        <cfvo type="percent" val="0"/>
        <cfvo type="num" val="0"/>
        <cfvo type="num" val="1"/>
      </iconSet>
    </cfRule>
  </conditionalFormatting>
  <conditionalFormatting sqref="D1345:D1346">
    <cfRule type="iconSet" priority="13">
      <iconSet iconSet="3Symbols2">
        <cfvo type="percent" val="0"/>
        <cfvo type="num" val="0"/>
        <cfvo type="num" val="1"/>
      </iconSet>
    </cfRule>
  </conditionalFormatting>
  <conditionalFormatting sqref="D1347:D1348">
    <cfRule type="iconSet" priority="12">
      <iconSet iconSet="3Symbols2">
        <cfvo type="percent" val="0"/>
        <cfvo type="num" val="0"/>
        <cfvo type="num" val="1"/>
      </iconSet>
    </cfRule>
  </conditionalFormatting>
  <conditionalFormatting sqref="D1349:D1350">
    <cfRule type="iconSet" priority="11">
      <iconSet iconSet="3Symbols2">
        <cfvo type="percent" val="0"/>
        <cfvo type="num" val="0"/>
        <cfvo type="num" val="1"/>
      </iconSet>
    </cfRule>
  </conditionalFormatting>
  <conditionalFormatting sqref="D1351:D1352">
    <cfRule type="iconSet" priority="10">
      <iconSet iconSet="3Symbols2">
        <cfvo type="percent" val="0"/>
        <cfvo type="num" val="0"/>
        <cfvo type="num" val="1"/>
      </iconSet>
    </cfRule>
  </conditionalFormatting>
  <conditionalFormatting sqref="D1353:D1354">
    <cfRule type="iconSet" priority="9">
      <iconSet iconSet="3Symbols2">
        <cfvo type="percent" val="0"/>
        <cfvo type="num" val="0"/>
        <cfvo type="num" val="1"/>
      </iconSet>
    </cfRule>
  </conditionalFormatting>
  <conditionalFormatting sqref="D1355:D1356">
    <cfRule type="iconSet" priority="8">
      <iconSet iconSet="3Symbols2">
        <cfvo type="percent" val="0"/>
        <cfvo type="num" val="0"/>
        <cfvo type="num" val="1"/>
      </iconSet>
    </cfRule>
  </conditionalFormatting>
  <conditionalFormatting sqref="D1357:D1358">
    <cfRule type="iconSet" priority="7">
      <iconSet iconSet="3Symbols2">
        <cfvo type="percent" val="0"/>
        <cfvo type="num" val="0"/>
        <cfvo type="num" val="1"/>
      </iconSet>
    </cfRule>
  </conditionalFormatting>
  <conditionalFormatting sqref="D36 D38 D127:D136 D40:D42">
    <cfRule type="iconSet" priority="6">
      <iconSet iconSet="3Symbols2">
        <cfvo type="percent" val="0"/>
        <cfvo type="num" val="0"/>
        <cfvo type="num" val="1"/>
      </iconSet>
    </cfRule>
  </conditionalFormatting>
  <conditionalFormatting sqref="D447:D456">
    <cfRule type="iconSet" priority="5">
      <iconSet iconSet="3Symbols2">
        <cfvo type="percent" val="0"/>
        <cfvo type="num" val="0"/>
        <cfvo type="num" val="1"/>
      </iconSet>
    </cfRule>
  </conditionalFormatting>
  <conditionalFormatting sqref="D607:D612">
    <cfRule type="iconSet" priority="4">
      <iconSet iconSet="3Symbols2">
        <cfvo type="percent" val="0"/>
        <cfvo type="num" val="0"/>
        <cfvo type="num" val="1"/>
      </iconSet>
    </cfRule>
  </conditionalFormatting>
  <conditionalFormatting sqref="D940:D945">
    <cfRule type="iconSet" priority="3">
      <iconSet iconSet="3Symbols2">
        <cfvo type="percent" val="0"/>
        <cfvo type="num" val="0"/>
        <cfvo type="num" val="1"/>
      </iconSet>
    </cfRule>
  </conditionalFormatting>
  <conditionalFormatting sqref="D1245:D1250">
    <cfRule type="iconSet" priority="2">
      <iconSet iconSet="3Symbols2">
        <cfvo type="percent" val="0"/>
        <cfvo type="num" val="0"/>
        <cfvo type="num" val="1"/>
      </iconSet>
    </cfRule>
  </conditionalFormatting>
  <conditionalFormatting sqref="D1333:D1338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1327:D1330">
    <cfRule type="iconSet" priority="256">
      <iconSet iconSet="3Symbols2">
        <cfvo type="percent" val="0"/>
        <cfvo type="num" val="0"/>
        <cfvo type="num" val="1"/>
      </iconSet>
    </cfRule>
  </conditionalFormatting>
  <conditionalFormatting sqref="D949:D951">
    <cfRule type="iconSet" priority="257">
      <iconSet iconSet="3Symbols2">
        <cfvo type="percent" val="0"/>
        <cfvo type="num" val="0"/>
        <cfvo type="num" val="1"/>
      </iconSet>
    </cfRule>
  </conditionalFormatting>
  <conditionalFormatting sqref="D946:D948">
    <cfRule type="iconSet" priority="258">
      <iconSet iconSet="3Symbols2">
        <cfvo type="percent" val="0"/>
        <cfvo type="num" val="0"/>
        <cfvo type="num" val="1"/>
      </iconSet>
    </cfRule>
  </conditionalFormatting>
  <hyperlinks>
    <hyperlink ref="B17" location="Adrodd!A35" display="Effaith y Coronafeirws" xr:uid="{3CE41BBE-35F4-404E-A003-04797FE50662}"/>
    <hyperlink ref="B18" location="Adrodd!A38" display="Arddangosfeydd" xr:uid="{4EE694CD-BD4B-45E9-922C-1708915D8697}"/>
    <hyperlink ref="B19" location="Adrodd!A130" display="Cyfranogi Plant a Phobl Ifanc" xr:uid="{20485756-6FBD-4B43-A953-ABC716CEBDED}"/>
    <hyperlink ref="B20" location="Adrodd!A449" display="Cyfranogi Cyffredinol" xr:uid="{B094A9E2-53F3-4C27-B479-56F7E95CC07E}"/>
    <hyperlink ref="B21" location="Adrodd!A609" display="Gweithgarwch Teithiol" xr:uid="{2FA5849C-880B-48D8-A167-B624E11FFDD5}"/>
    <hyperlink ref="B22" location="Adrodd!A737" display="Ffilmiau" xr:uid="{7ECEC738-F2FE-4006-AB36-464390ACAF8E}"/>
    <hyperlink ref="B23" location="Adrodd!A775" display="Darllediadau ac Ar-lein" xr:uid="{8142D59A-9FE1-41E1-A3E7-68086D4D091D}"/>
    <hyperlink ref="B24" location="Adrodd!A845" display="Gwefan a’r Cyfryngau Cymdeithasol" xr:uid="{75EEC119-A92C-4CF9-859C-4F4285F4738D}"/>
    <hyperlink ref="B25" location="Adrodd!A942" display="Lleoliadau Cyflwyno" xr:uid="{92109EE5-0BAF-44E2-861C-1109FD83FD3B}"/>
    <hyperlink ref="B26" location="Adrodd!A1247" display="Hyfforddiant / Gweithdai a Digwyddiadau" xr:uid="{223F7878-804B-4E6A-8A46-7DF4563F1876}"/>
    <hyperlink ref="B27" location="Adrodd!A1323" display="Tenantiaid a Phreswylfeydd Artistiaid" xr:uid="{7A35DAE8-1F0D-4C9D-A2D6-D26BEFB0EEAE}"/>
    <hyperlink ref="B28" location="Adrodd!A1335" display="Sgyrsiau a Sesiynau Holi ac Ateb" xr:uid="{5CF6C342-5628-4391-A104-A93E41ADDC81}"/>
    <hyperlink ref="B29" location="Adrodd!A1364" display="Perfformiad Amgylcheddol" xr:uid="{2F7C26D6-8D19-4E61-892F-DF5FE302F82E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54" id="{A5F478AB-60EA-439D-AAF7-5FBF032EB06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C18:C28</xm:sqref>
        </x14:conditionalFormatting>
        <x14:conditionalFormatting xmlns:xm="http://schemas.microsoft.com/office/excel/2006/main">
          <x14:cfRule type="iconSet" priority="552" id="{334E9108-5610-4BF3-A222-098EBE5D5C0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558" id="{5185E403-1A3A-48F3-AA2E-3D1AE183A41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B2F1-5159-496A-966D-D70EA3A80D09}">
  <dimension ref="A1:A38"/>
  <sheetViews>
    <sheetView showGridLines="0" topLeftCell="A22" workbookViewId="0">
      <selection activeCell="A33" sqref="A33"/>
    </sheetView>
  </sheetViews>
  <sheetFormatPr defaultColWidth="8.6328125" defaultRowHeight="16"/>
  <cols>
    <col min="1" max="1" width="141.6328125" style="72" customWidth="1"/>
    <col min="2" max="16384" width="8.6328125" style="72"/>
  </cols>
  <sheetData>
    <row r="1" spans="1:1" ht="21">
      <c r="A1" s="71" t="s">
        <v>988</v>
      </c>
    </row>
    <row r="3" spans="1:1" ht="18.5">
      <c r="A3" s="70" t="s">
        <v>0</v>
      </c>
    </row>
    <row r="5" spans="1:1" ht="48.65" customHeight="1">
      <c r="A5" s="73" t="s">
        <v>1</v>
      </c>
    </row>
    <row r="6" spans="1:1">
      <c r="A6" s="167" t="s">
        <v>2</v>
      </c>
    </row>
    <row r="7" spans="1:1">
      <c r="A7" s="75"/>
    </row>
    <row r="8" spans="1:1" ht="18.5">
      <c r="A8" s="70" t="s">
        <v>3</v>
      </c>
    </row>
    <row r="10" spans="1:1">
      <c r="A10" s="76" t="s">
        <v>989</v>
      </c>
    </row>
    <row r="11" spans="1:1">
      <c r="A11" s="76" t="s">
        <v>4</v>
      </c>
    </row>
    <row r="12" spans="1:1">
      <c r="A12" s="76" t="s">
        <v>5</v>
      </c>
    </row>
    <row r="13" spans="1:1">
      <c r="A13" s="76" t="s">
        <v>6</v>
      </c>
    </row>
    <row r="14" spans="1:1">
      <c r="A14" s="76" t="s">
        <v>7</v>
      </c>
    </row>
    <row r="15" spans="1:1">
      <c r="A15" s="76" t="s">
        <v>8</v>
      </c>
    </row>
    <row r="16" spans="1:1">
      <c r="A16" s="76" t="s">
        <v>9</v>
      </c>
    </row>
    <row r="17" spans="1:1">
      <c r="A17" s="76" t="s">
        <v>10</v>
      </c>
    </row>
    <row r="18" spans="1:1">
      <c r="A18" s="76" t="s">
        <v>11</v>
      </c>
    </row>
    <row r="19" spans="1:1">
      <c r="A19" s="76" t="s">
        <v>12</v>
      </c>
    </row>
    <row r="20" spans="1:1">
      <c r="A20" s="76" t="s">
        <v>13</v>
      </c>
    </row>
    <row r="21" spans="1:1">
      <c r="A21" s="76" t="s">
        <v>14</v>
      </c>
    </row>
    <row r="22" spans="1:1">
      <c r="A22" s="76" t="s">
        <v>15</v>
      </c>
    </row>
    <row r="23" spans="1:1">
      <c r="A23" s="76" t="s">
        <v>16</v>
      </c>
    </row>
    <row r="25" spans="1:1">
      <c r="A25" s="76" t="s">
        <v>17</v>
      </c>
    </row>
    <row r="26" spans="1:1">
      <c r="A26" s="77" t="s">
        <v>18</v>
      </c>
    </row>
    <row r="27" spans="1:1">
      <c r="A27" s="77" t="s">
        <v>19</v>
      </c>
    </row>
    <row r="28" spans="1:1">
      <c r="A28" s="77" t="s">
        <v>20</v>
      </c>
    </row>
    <row r="29" spans="1:1">
      <c r="A29" s="77" t="s">
        <v>21</v>
      </c>
    </row>
    <row r="30" spans="1:1">
      <c r="A30" s="76" t="s">
        <v>22</v>
      </c>
    </row>
    <row r="31" spans="1:1">
      <c r="A31" s="69"/>
    </row>
    <row r="32" spans="1:1" ht="18.5">
      <c r="A32" s="70" t="s">
        <v>23</v>
      </c>
    </row>
    <row r="33" spans="1:1">
      <c r="A33" s="168" t="s">
        <v>990</v>
      </c>
    </row>
    <row r="34" spans="1:1">
      <c r="A34" s="170" t="s">
        <v>992</v>
      </c>
    </row>
    <row r="35" spans="1:1">
      <c r="A35" s="167" t="s">
        <v>986</v>
      </c>
    </row>
    <row r="36" spans="1:1">
      <c r="A36" s="78"/>
    </row>
    <row r="37" spans="1:1" ht="18.5">
      <c r="A37" s="70" t="s">
        <v>24</v>
      </c>
    </row>
    <row r="38" spans="1:1">
      <c r="A38" s="169" t="s">
        <v>25</v>
      </c>
    </row>
  </sheetData>
  <hyperlinks>
    <hyperlink ref="A6" r:id="rId1" xr:uid="{C5C9515B-507B-47E2-A18D-408D05EE6401}"/>
    <hyperlink ref="A35" r:id="rId2" xr:uid="{BE43BE58-D2E4-4525-825A-1EE6575949D5}"/>
    <hyperlink ref="A38" r:id="rId3" xr:uid="{BFA8CAF0-966B-4C9C-BB70-8E23767F0BED}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2FCA-D350-4E8C-83E6-99C69545F8FE}">
  <dimension ref="A1:A35"/>
  <sheetViews>
    <sheetView showGridLines="0" topLeftCell="A6" workbookViewId="0">
      <selection activeCell="A8" sqref="A8"/>
    </sheetView>
  </sheetViews>
  <sheetFormatPr defaultColWidth="8.6328125" defaultRowHeight="16"/>
  <cols>
    <col min="1" max="1" width="163.453125" style="72" customWidth="1"/>
    <col min="2" max="16384" width="8.6328125" style="72"/>
  </cols>
  <sheetData>
    <row r="1" spans="1:1" ht="21">
      <c r="A1" s="144" t="s">
        <v>26</v>
      </c>
    </row>
    <row r="3" spans="1:1">
      <c r="A3" s="145" t="s">
        <v>27</v>
      </c>
    </row>
    <row r="5" spans="1:1" ht="18.5">
      <c r="A5" s="146" t="s">
        <v>28</v>
      </c>
    </row>
    <row r="7" spans="1:1">
      <c r="A7" s="145" t="s">
        <v>29</v>
      </c>
    </row>
    <row r="8" spans="1:1" ht="17.399999999999999" customHeight="1">
      <c r="A8" s="147" t="s">
        <v>30</v>
      </c>
    </row>
    <row r="9" spans="1:1">
      <c r="A9" s="148" t="s">
        <v>31</v>
      </c>
    </row>
    <row r="10" spans="1:1">
      <c r="A10" s="148" t="s">
        <v>32</v>
      </c>
    </row>
    <row r="11" spans="1:1">
      <c r="A11" s="149" t="s">
        <v>33</v>
      </c>
    </row>
    <row r="12" spans="1:1">
      <c r="A12" s="148" t="s">
        <v>34</v>
      </c>
    </row>
    <row r="13" spans="1:1">
      <c r="A13" s="148"/>
    </row>
    <row r="15" spans="1:1">
      <c r="A15" s="150" t="s">
        <v>35</v>
      </c>
    </row>
    <row r="16" spans="1:1">
      <c r="A16" s="151" t="s">
        <v>36</v>
      </c>
    </row>
    <row r="18" spans="1:1">
      <c r="A18" s="148" t="s">
        <v>37</v>
      </c>
    </row>
    <row r="19" spans="1:1">
      <c r="A19" s="148" t="s">
        <v>38</v>
      </c>
    </row>
    <row r="21" spans="1:1">
      <c r="A21" s="145" t="s">
        <v>39</v>
      </c>
    </row>
    <row r="22" spans="1:1">
      <c r="A22" s="145" t="s">
        <v>40</v>
      </c>
    </row>
    <row r="24" spans="1:1" ht="32">
      <c r="A24" s="148" t="s">
        <v>41</v>
      </c>
    </row>
    <row r="26" spans="1:1">
      <c r="A26" s="152" t="s">
        <v>42</v>
      </c>
    </row>
    <row r="28" spans="1:1">
      <c r="A28" s="150" t="s">
        <v>43</v>
      </c>
    </row>
    <row r="29" spans="1:1">
      <c r="A29" s="152" t="s">
        <v>44</v>
      </c>
    </row>
    <row r="30" spans="1:1">
      <c r="A30" s="153" t="s">
        <v>45</v>
      </c>
    </row>
    <row r="31" spans="1:1">
      <c r="A31" s="152" t="s">
        <v>46</v>
      </c>
    </row>
    <row r="32" spans="1:1">
      <c r="A32" s="150" t="s">
        <v>47</v>
      </c>
    </row>
    <row r="33" spans="1:1">
      <c r="A33" s="152" t="s">
        <v>48</v>
      </c>
    </row>
    <row r="35" spans="1:1">
      <c r="A35" s="167" t="s">
        <v>492</v>
      </c>
    </row>
  </sheetData>
  <hyperlinks>
    <hyperlink ref="A35" r:id="rId1" xr:uid="{B75A98AF-75D3-4496-9A9F-ECF538941590}"/>
  </hyperlink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7734-EE8B-4BF6-9A96-F1D231A30EBA}">
  <sheetPr>
    <tabColor theme="9" tint="-0.249977111117893"/>
  </sheetPr>
  <dimension ref="A1:I3"/>
  <sheetViews>
    <sheetView workbookViewId="0">
      <selection activeCell="A4" sqref="A4"/>
    </sheetView>
  </sheetViews>
  <sheetFormatPr defaultColWidth="24.08984375" defaultRowHeight="14.5"/>
  <cols>
    <col min="1" max="1" width="24.08984375" style="14"/>
    <col min="2" max="2" width="60" style="14" customWidth="1"/>
    <col min="3" max="16384" width="24.08984375" style="14"/>
  </cols>
  <sheetData>
    <row r="1" spans="1:9" ht="42.75" customHeight="1">
      <c r="A1" s="176" t="s">
        <v>49</v>
      </c>
      <c r="B1" s="179" t="s">
        <v>468</v>
      </c>
      <c r="C1" s="182"/>
      <c r="D1" s="182"/>
      <c r="E1" s="182"/>
      <c r="F1" s="182"/>
      <c r="G1" s="182"/>
      <c r="H1" s="182"/>
      <c r="I1" s="182"/>
    </row>
    <row r="2" spans="1:9">
      <c r="A2" s="177"/>
      <c r="B2" s="180"/>
      <c r="C2" s="182"/>
      <c r="D2" s="182"/>
      <c r="E2" s="182"/>
      <c r="F2" s="182"/>
      <c r="G2" s="182"/>
      <c r="H2" s="182"/>
      <c r="I2" s="182"/>
    </row>
    <row r="3" spans="1:9" ht="91.4" customHeight="1" thickBot="1">
      <c r="A3" s="178"/>
      <c r="B3" s="181"/>
      <c r="C3" s="182"/>
      <c r="D3" s="182"/>
      <c r="E3" s="182"/>
      <c r="F3" s="182"/>
      <c r="G3" s="182"/>
      <c r="H3" s="182"/>
      <c r="I3" s="182"/>
    </row>
  </sheetData>
  <mergeCells count="10">
    <mergeCell ref="A1:A3"/>
    <mergeCell ref="B1:B3"/>
    <mergeCell ref="C1:E1"/>
    <mergeCell ref="F1:F3"/>
    <mergeCell ref="I1:I3"/>
    <mergeCell ref="C2:C3"/>
    <mergeCell ref="D2:D3"/>
    <mergeCell ref="E2:E3"/>
    <mergeCell ref="G1:G3"/>
    <mergeCell ref="H1:H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6CD8735-F6F0-441B-9F9E-585A188B3776}">
          <x14:formula1>
            <xm:f>'Ref.'!$B$35:$B$36</xm:f>
          </x14:formula1>
          <xm:sqref>F4</xm:sqref>
        </x14:dataValidation>
        <x14:dataValidation type="list" allowBlank="1" showInputMessage="1" showErrorMessage="1" xr:uid="{F77182A3-32BF-4AD6-85DD-9380DD58D1A4}">
          <x14:formula1>
            <xm:f>'Ref.'!$AC$2:$AC$3</xm:f>
          </x14:formula1>
          <xm:sqref>G4</xm:sqref>
        </x14:dataValidation>
        <x14:dataValidation type="list" allowBlank="1" showInputMessage="1" showErrorMessage="1" xr:uid="{0B9DCE85-0100-4636-9779-2322AEC92109}">
          <x14:formula1>
            <xm:f>'Ref.'!$A$66:$A$134</xm:f>
          </x14:formula1>
          <xm:sqref>A4:A1048576</xm:sqref>
        </x14:dataValidation>
        <x14:dataValidation type="list" allowBlank="1" showInputMessage="1" showErrorMessage="1" xr:uid="{7B13F08A-C22E-44BF-B0C8-4537241AC838}">
          <x14:formula1>
            <xm:f>'Ref.'!$AB$2:$AB$3</xm:f>
          </x14:formula1>
          <xm:sqref>C4:E4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BE200"/>
  <sheetViews>
    <sheetView topLeftCell="AS1" workbookViewId="0">
      <pane ySplit="3" topLeftCell="A4" activePane="bottomLeft" state="frozen"/>
      <selection pane="bottomLeft" activeCell="AX9" sqref="AX9"/>
    </sheetView>
  </sheetViews>
  <sheetFormatPr defaultColWidth="23" defaultRowHeight="14.5"/>
  <cols>
    <col min="1" max="1" width="23" style="22"/>
    <col min="2" max="2" width="23" style="23"/>
    <col min="3" max="3" width="23" style="14"/>
    <col min="4" max="4" width="23" style="22"/>
    <col min="5" max="5" width="23" style="23"/>
    <col min="6" max="6" width="23" style="22"/>
    <col min="7" max="7" width="23" style="14"/>
    <col min="8" max="8" width="23" style="23"/>
    <col min="9" max="9" width="23" style="22"/>
    <col min="10" max="14" width="23" style="14"/>
    <col min="15" max="15" width="23" style="23"/>
    <col min="16" max="16" width="23" style="22"/>
    <col min="17" max="20" width="23" style="14"/>
    <col min="21" max="21" width="23" style="23"/>
    <col min="22" max="22" width="23" style="22"/>
    <col min="23" max="23" width="23" style="14"/>
    <col min="24" max="24" width="23" style="23"/>
    <col min="25" max="25" width="23" style="22"/>
    <col min="26" max="29" width="23" style="14"/>
    <col min="30" max="30" width="23" style="23"/>
    <col min="31" max="31" width="23" style="22"/>
    <col min="32" max="40" width="23" style="14"/>
    <col min="41" max="41" width="23" style="22"/>
    <col min="42" max="49" width="23" style="14"/>
    <col min="50" max="50" width="23" style="23"/>
    <col min="51" max="51" width="23" style="22"/>
    <col min="52" max="55" width="23" style="14"/>
    <col min="56" max="56" width="23" style="23"/>
    <col min="57" max="57" width="37.36328125" style="23" customWidth="1"/>
    <col min="58" max="16384" width="23" style="14"/>
  </cols>
  <sheetData>
    <row r="1" spans="1:57" s="25" customFormat="1" ht="15.75" customHeight="1" thickBot="1">
      <c r="A1" s="210" t="s">
        <v>49</v>
      </c>
      <c r="B1" s="213" t="s">
        <v>51</v>
      </c>
      <c r="C1" s="217" t="s">
        <v>52</v>
      </c>
      <c r="D1" s="193" t="s">
        <v>53</v>
      </c>
      <c r="E1" s="195"/>
      <c r="F1" s="193" t="s">
        <v>54</v>
      </c>
      <c r="G1" s="185" t="s">
        <v>55</v>
      </c>
      <c r="H1" s="195" t="s">
        <v>56</v>
      </c>
      <c r="I1" s="193" t="s">
        <v>57</v>
      </c>
      <c r="J1" s="185" t="s">
        <v>58</v>
      </c>
      <c r="K1" s="185" t="s">
        <v>59</v>
      </c>
      <c r="L1" s="185" t="s">
        <v>60</v>
      </c>
      <c r="M1" s="185" t="s">
        <v>61</v>
      </c>
      <c r="N1" s="185" t="s">
        <v>62</v>
      </c>
      <c r="O1" s="195" t="s">
        <v>63</v>
      </c>
      <c r="P1" s="202" t="s">
        <v>64</v>
      </c>
      <c r="Q1" s="203"/>
      <c r="R1" s="203"/>
      <c r="S1" s="203"/>
      <c r="T1" s="203"/>
      <c r="U1" s="204" t="s">
        <v>65</v>
      </c>
      <c r="V1" s="188" t="s">
        <v>66</v>
      </c>
      <c r="W1" s="189"/>
      <c r="X1" s="190"/>
      <c r="Y1" s="188" t="s">
        <v>67</v>
      </c>
      <c r="Z1" s="189"/>
      <c r="AA1" s="189"/>
      <c r="AB1" s="189"/>
      <c r="AC1" s="189"/>
      <c r="AD1" s="190"/>
      <c r="AE1" s="188" t="s">
        <v>68</v>
      </c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90"/>
      <c r="AY1" s="197" t="s">
        <v>493</v>
      </c>
      <c r="AZ1" s="198"/>
      <c r="BA1" s="198"/>
      <c r="BB1" s="198"/>
      <c r="BC1" s="198"/>
      <c r="BD1" s="198"/>
      <c r="BE1" s="183" t="s">
        <v>69</v>
      </c>
    </row>
    <row r="2" spans="1:57" s="25" customFormat="1" ht="30" customHeight="1" thickBot="1">
      <c r="A2" s="211"/>
      <c r="B2" s="214"/>
      <c r="C2" s="218"/>
      <c r="D2" s="216"/>
      <c r="E2" s="201"/>
      <c r="F2" s="216"/>
      <c r="G2" s="186"/>
      <c r="H2" s="201"/>
      <c r="I2" s="216"/>
      <c r="J2" s="186"/>
      <c r="K2" s="186"/>
      <c r="L2" s="186"/>
      <c r="M2" s="186"/>
      <c r="N2" s="186"/>
      <c r="O2" s="201"/>
      <c r="P2" s="191" t="s">
        <v>70</v>
      </c>
      <c r="Q2" s="192"/>
      <c r="R2" s="192"/>
      <c r="S2" s="186" t="s">
        <v>71</v>
      </c>
      <c r="T2" s="186" t="s">
        <v>72</v>
      </c>
      <c r="U2" s="205"/>
      <c r="V2" s="193" t="s">
        <v>73</v>
      </c>
      <c r="W2" s="185" t="s">
        <v>71</v>
      </c>
      <c r="X2" s="195" t="s">
        <v>74</v>
      </c>
      <c r="Y2" s="207" t="s">
        <v>75</v>
      </c>
      <c r="Z2" s="208"/>
      <c r="AA2" s="208"/>
      <c r="AB2" s="208"/>
      <c r="AC2" s="208"/>
      <c r="AD2" s="209"/>
      <c r="AE2" s="188" t="s">
        <v>76</v>
      </c>
      <c r="AF2" s="189"/>
      <c r="AG2" s="189"/>
      <c r="AH2" s="189"/>
      <c r="AI2" s="189"/>
      <c r="AJ2" s="189"/>
      <c r="AK2" s="189"/>
      <c r="AL2" s="189"/>
      <c r="AM2" s="189"/>
      <c r="AN2" s="190"/>
      <c r="AO2" s="188" t="s">
        <v>77</v>
      </c>
      <c r="AP2" s="189"/>
      <c r="AQ2" s="189"/>
      <c r="AR2" s="189"/>
      <c r="AS2" s="189"/>
      <c r="AT2" s="189"/>
      <c r="AU2" s="189"/>
      <c r="AV2" s="189"/>
      <c r="AW2" s="189"/>
      <c r="AX2" s="190"/>
      <c r="AY2" s="199"/>
      <c r="AZ2" s="200"/>
      <c r="BA2" s="200"/>
      <c r="BB2" s="200"/>
      <c r="BC2" s="200"/>
      <c r="BD2" s="200"/>
      <c r="BE2" s="183"/>
    </row>
    <row r="3" spans="1:57" s="25" customFormat="1" ht="119.15" customHeight="1" thickBot="1">
      <c r="A3" s="212"/>
      <c r="B3" s="215"/>
      <c r="C3" s="219"/>
      <c r="D3" s="26" t="s">
        <v>78</v>
      </c>
      <c r="E3" s="27" t="s">
        <v>79</v>
      </c>
      <c r="F3" s="194"/>
      <c r="G3" s="187"/>
      <c r="H3" s="196"/>
      <c r="I3" s="194"/>
      <c r="J3" s="187"/>
      <c r="K3" s="187"/>
      <c r="L3" s="187"/>
      <c r="M3" s="187"/>
      <c r="N3" s="187"/>
      <c r="O3" s="196"/>
      <c r="P3" s="26" t="s">
        <v>80</v>
      </c>
      <c r="Q3" s="28" t="s">
        <v>81</v>
      </c>
      <c r="R3" s="28" t="s">
        <v>82</v>
      </c>
      <c r="S3" s="187"/>
      <c r="T3" s="187"/>
      <c r="U3" s="206"/>
      <c r="V3" s="194"/>
      <c r="W3" s="187"/>
      <c r="X3" s="196"/>
      <c r="Y3" s="29" t="s">
        <v>83</v>
      </c>
      <c r="Z3" s="30" t="s">
        <v>84</v>
      </c>
      <c r="AA3" s="30" t="s">
        <v>85</v>
      </c>
      <c r="AB3" s="30" t="s">
        <v>86</v>
      </c>
      <c r="AC3" s="30" t="s">
        <v>87</v>
      </c>
      <c r="AD3" s="31" t="s">
        <v>63</v>
      </c>
      <c r="AE3" s="26" t="s">
        <v>88</v>
      </c>
      <c r="AF3" s="28" t="s">
        <v>469</v>
      </c>
      <c r="AG3" s="28" t="s">
        <v>90</v>
      </c>
      <c r="AH3" s="28" t="s">
        <v>91</v>
      </c>
      <c r="AI3" s="28" t="s">
        <v>92</v>
      </c>
      <c r="AJ3" s="28" t="s">
        <v>93</v>
      </c>
      <c r="AK3" s="28" t="s">
        <v>94</v>
      </c>
      <c r="AL3" s="28" t="s">
        <v>95</v>
      </c>
      <c r="AM3" s="28" t="s">
        <v>96</v>
      </c>
      <c r="AN3" s="28" t="s">
        <v>97</v>
      </c>
      <c r="AO3" s="28" t="s">
        <v>88</v>
      </c>
      <c r="AP3" s="28" t="s">
        <v>89</v>
      </c>
      <c r="AQ3" s="28" t="s">
        <v>90</v>
      </c>
      <c r="AR3" s="28" t="s">
        <v>91</v>
      </c>
      <c r="AS3" s="28" t="s">
        <v>92</v>
      </c>
      <c r="AT3" s="28" t="s">
        <v>93</v>
      </c>
      <c r="AU3" s="28" t="s">
        <v>94</v>
      </c>
      <c r="AV3" s="28" t="s">
        <v>95</v>
      </c>
      <c r="AW3" s="28" t="s">
        <v>96</v>
      </c>
      <c r="AX3" s="28" t="s">
        <v>97</v>
      </c>
      <c r="AY3" s="26" t="s">
        <v>98</v>
      </c>
      <c r="AZ3" s="28" t="s">
        <v>99</v>
      </c>
      <c r="BA3" s="28" t="s">
        <v>100</v>
      </c>
      <c r="BB3" s="28" t="s">
        <v>101</v>
      </c>
      <c r="BC3" s="28" t="s">
        <v>102</v>
      </c>
      <c r="BD3" s="27" t="s">
        <v>103</v>
      </c>
      <c r="BE3" s="184"/>
    </row>
    <row r="4" spans="1:57" ht="13.5" customHeight="1">
      <c r="AD4" s="14"/>
    </row>
    <row r="5" spans="1:57">
      <c r="AD5" s="14"/>
    </row>
    <row r="6" spans="1:57">
      <c r="AD6" s="14"/>
    </row>
    <row r="7" spans="1:57">
      <c r="AD7" s="14"/>
    </row>
    <row r="8" spans="1:57">
      <c r="AD8" s="14"/>
    </row>
    <row r="9" spans="1:57">
      <c r="AD9" s="14"/>
    </row>
    <row r="10" spans="1:57">
      <c r="AD10" s="14"/>
    </row>
    <row r="11" spans="1:57">
      <c r="AD11" s="14"/>
    </row>
    <row r="12" spans="1:57">
      <c r="AD12" s="14"/>
    </row>
    <row r="13" spans="1:57">
      <c r="AE13" s="14"/>
    </row>
    <row r="14" spans="1:57">
      <c r="AE14" s="14"/>
    </row>
    <row r="15" spans="1:57">
      <c r="AD15" s="14"/>
    </row>
    <row r="16" spans="1:57">
      <c r="AD16" s="14"/>
    </row>
    <row r="17" spans="30:30">
      <c r="AD17" s="14"/>
    </row>
    <row r="18" spans="30:30">
      <c r="AD18" s="14"/>
    </row>
    <row r="19" spans="30:30">
      <c r="AD19" s="14"/>
    </row>
    <row r="20" spans="30:30">
      <c r="AD20" s="14"/>
    </row>
    <row r="21" spans="30:30">
      <c r="AD21" s="14"/>
    </row>
    <row r="22" spans="30:30">
      <c r="AD22" s="14"/>
    </row>
    <row r="23" spans="30:30">
      <c r="AD23" s="14"/>
    </row>
    <row r="24" spans="30:30">
      <c r="AD24" s="14"/>
    </row>
    <row r="25" spans="30:30">
      <c r="AD25" s="14"/>
    </row>
    <row r="26" spans="30:30">
      <c r="AD26" s="14"/>
    </row>
    <row r="27" spans="30:30">
      <c r="AD27" s="14"/>
    </row>
    <row r="28" spans="30:30">
      <c r="AD28" s="14"/>
    </row>
    <row r="29" spans="30:30">
      <c r="AD29" s="14"/>
    </row>
    <row r="30" spans="30:30">
      <c r="AD30" s="14"/>
    </row>
    <row r="31" spans="30:30">
      <c r="AD31" s="14"/>
    </row>
    <row r="32" spans="30:30">
      <c r="AD32" s="14"/>
    </row>
    <row r="33" spans="30:30">
      <c r="AD33" s="14"/>
    </row>
    <row r="34" spans="30:30">
      <c r="AD34" s="14"/>
    </row>
    <row r="35" spans="30:30">
      <c r="AD35" s="14"/>
    </row>
    <row r="36" spans="30:30">
      <c r="AD36" s="14"/>
    </row>
    <row r="37" spans="30:30">
      <c r="AD37" s="14"/>
    </row>
    <row r="38" spans="30:30">
      <c r="AD38" s="14"/>
    </row>
    <row r="39" spans="30:30">
      <c r="AD39" s="14"/>
    </row>
    <row r="40" spans="30:30">
      <c r="AD40" s="14"/>
    </row>
    <row r="41" spans="30:30">
      <c r="AD41" s="14"/>
    </row>
    <row r="42" spans="30:30">
      <c r="AD42" s="14"/>
    </row>
    <row r="43" spans="30:30">
      <c r="AD43" s="14"/>
    </row>
    <row r="44" spans="30:30">
      <c r="AD44" s="14"/>
    </row>
    <row r="45" spans="30:30">
      <c r="AD45" s="14"/>
    </row>
    <row r="46" spans="30:30">
      <c r="AD46" s="14"/>
    </row>
    <row r="47" spans="30:30">
      <c r="AD47" s="14"/>
    </row>
    <row r="48" spans="30:30">
      <c r="AD48" s="14"/>
    </row>
    <row r="49" spans="30:30">
      <c r="AD49" s="14"/>
    </row>
    <row r="50" spans="30:30">
      <c r="AD50" s="14"/>
    </row>
    <row r="51" spans="30:30">
      <c r="AD51" s="14"/>
    </row>
    <row r="52" spans="30:30">
      <c r="AD52" s="14"/>
    </row>
    <row r="53" spans="30:30">
      <c r="AD53" s="14"/>
    </row>
    <row r="54" spans="30:30">
      <c r="AD54" s="14"/>
    </row>
    <row r="55" spans="30:30">
      <c r="AD55" s="14"/>
    </row>
    <row r="56" spans="30:30">
      <c r="AD56" s="14"/>
    </row>
    <row r="57" spans="30:30">
      <c r="AD57" s="14"/>
    </row>
    <row r="58" spans="30:30">
      <c r="AD58" s="14"/>
    </row>
    <row r="59" spans="30:30">
      <c r="AD59" s="14"/>
    </row>
    <row r="60" spans="30:30">
      <c r="AD60" s="14"/>
    </row>
    <row r="61" spans="30:30">
      <c r="AD61" s="14"/>
    </row>
    <row r="62" spans="30:30">
      <c r="AD62" s="14"/>
    </row>
    <row r="63" spans="30:30">
      <c r="AD63" s="14"/>
    </row>
    <row r="64" spans="30:30">
      <c r="AD64" s="14"/>
    </row>
    <row r="65" spans="30:30">
      <c r="AD65" s="14"/>
    </row>
    <row r="66" spans="30:30">
      <c r="AD66" s="14"/>
    </row>
    <row r="67" spans="30:30">
      <c r="AD67" s="14"/>
    </row>
    <row r="68" spans="30:30">
      <c r="AD68" s="14"/>
    </row>
    <row r="69" spans="30:30">
      <c r="AD69" s="14"/>
    </row>
    <row r="70" spans="30:30">
      <c r="AD70" s="14"/>
    </row>
    <row r="71" spans="30:30">
      <c r="AD71" s="14"/>
    </row>
    <row r="72" spans="30:30">
      <c r="AD72" s="14"/>
    </row>
    <row r="73" spans="30:30">
      <c r="AD73" s="14"/>
    </row>
    <row r="74" spans="30:30">
      <c r="AD74" s="14"/>
    </row>
    <row r="75" spans="30:30">
      <c r="AD75" s="14"/>
    </row>
    <row r="76" spans="30:30">
      <c r="AD76" s="14"/>
    </row>
    <row r="77" spans="30:30">
      <c r="AD77" s="14"/>
    </row>
    <row r="78" spans="30:30">
      <c r="AD78" s="14"/>
    </row>
    <row r="79" spans="30:30">
      <c r="AD79" s="14"/>
    </row>
    <row r="80" spans="30:30">
      <c r="AD80" s="14"/>
    </row>
    <row r="81" spans="30:30">
      <c r="AD81" s="14"/>
    </row>
    <row r="82" spans="30:30">
      <c r="AD82" s="14"/>
    </row>
    <row r="83" spans="30:30">
      <c r="AD83" s="14"/>
    </row>
    <row r="84" spans="30:30">
      <c r="AD84" s="14"/>
    </row>
    <row r="85" spans="30:30">
      <c r="AD85" s="14"/>
    </row>
    <row r="86" spans="30:30">
      <c r="AD86" s="14"/>
    </row>
    <row r="87" spans="30:30">
      <c r="AD87" s="14"/>
    </row>
    <row r="88" spans="30:30">
      <c r="AD88" s="14"/>
    </row>
    <row r="89" spans="30:30">
      <c r="AD89" s="14"/>
    </row>
    <row r="90" spans="30:30">
      <c r="AD90" s="14"/>
    </row>
    <row r="91" spans="30:30">
      <c r="AD91" s="14"/>
    </row>
    <row r="92" spans="30:30">
      <c r="AD92" s="14"/>
    </row>
    <row r="93" spans="30:30">
      <c r="AD93" s="14"/>
    </row>
    <row r="94" spans="30:30">
      <c r="AD94" s="14"/>
    </row>
    <row r="95" spans="30:30">
      <c r="AD95" s="14"/>
    </row>
    <row r="96" spans="30:30">
      <c r="AD96" s="14"/>
    </row>
    <row r="97" spans="30:30">
      <c r="AD97" s="14"/>
    </row>
    <row r="98" spans="30:30">
      <c r="AD98" s="14"/>
    </row>
    <row r="99" spans="30:30">
      <c r="AD99" s="14"/>
    </row>
    <row r="100" spans="30:30">
      <c r="AD100" s="14"/>
    </row>
    <row r="101" spans="30:30">
      <c r="AD101" s="14"/>
    </row>
    <row r="102" spans="30:30">
      <c r="AD102" s="14"/>
    </row>
    <row r="103" spans="30:30">
      <c r="AD103" s="14"/>
    </row>
    <row r="104" spans="30:30">
      <c r="AD104" s="14"/>
    </row>
    <row r="105" spans="30:30">
      <c r="AD105" s="14"/>
    </row>
    <row r="106" spans="30:30">
      <c r="AD106" s="14"/>
    </row>
    <row r="107" spans="30:30">
      <c r="AD107" s="14"/>
    </row>
    <row r="108" spans="30:30">
      <c r="AD108" s="14"/>
    </row>
    <row r="109" spans="30:30">
      <c r="AD109" s="14"/>
    </row>
    <row r="110" spans="30:30">
      <c r="AD110" s="14"/>
    </row>
    <row r="111" spans="30:30">
      <c r="AD111" s="14"/>
    </row>
    <row r="112" spans="30:30">
      <c r="AD112" s="14"/>
    </row>
    <row r="113" spans="30:30">
      <c r="AD113" s="14"/>
    </row>
    <row r="114" spans="30:30">
      <c r="AD114" s="14"/>
    </row>
    <row r="115" spans="30:30">
      <c r="AD115" s="14"/>
    </row>
    <row r="116" spans="30:30">
      <c r="AD116" s="14"/>
    </row>
    <row r="117" spans="30:30">
      <c r="AD117" s="14"/>
    </row>
    <row r="118" spans="30:30">
      <c r="AD118" s="14"/>
    </row>
    <row r="119" spans="30:30">
      <c r="AD119" s="14"/>
    </row>
    <row r="120" spans="30:30">
      <c r="AD120" s="14"/>
    </row>
    <row r="121" spans="30:30">
      <c r="AD121" s="14"/>
    </row>
    <row r="122" spans="30:30">
      <c r="AD122" s="14"/>
    </row>
    <row r="123" spans="30:30">
      <c r="AD123" s="14"/>
    </row>
    <row r="124" spans="30:30">
      <c r="AD124" s="14"/>
    </row>
    <row r="125" spans="30:30">
      <c r="AD125" s="14"/>
    </row>
    <row r="126" spans="30:30">
      <c r="AD126" s="14"/>
    </row>
    <row r="127" spans="30:30">
      <c r="AD127" s="14"/>
    </row>
    <row r="128" spans="30:30">
      <c r="AD128" s="14"/>
    </row>
    <row r="129" spans="30:30">
      <c r="AD129" s="14"/>
    </row>
    <row r="130" spans="30:30">
      <c r="AD130" s="14"/>
    </row>
    <row r="131" spans="30:30">
      <c r="AD131" s="14"/>
    </row>
    <row r="132" spans="30:30">
      <c r="AD132" s="14"/>
    </row>
    <row r="133" spans="30:30">
      <c r="AD133" s="14"/>
    </row>
    <row r="134" spans="30:30">
      <c r="AD134" s="14"/>
    </row>
    <row r="135" spans="30:30">
      <c r="AD135" s="14"/>
    </row>
    <row r="136" spans="30:30">
      <c r="AD136" s="14"/>
    </row>
    <row r="137" spans="30:30">
      <c r="AD137" s="14"/>
    </row>
    <row r="138" spans="30:30">
      <c r="AD138" s="14"/>
    </row>
    <row r="139" spans="30:30">
      <c r="AD139" s="14"/>
    </row>
    <row r="140" spans="30:30">
      <c r="AD140" s="14"/>
    </row>
    <row r="141" spans="30:30">
      <c r="AD141" s="14"/>
    </row>
    <row r="142" spans="30:30">
      <c r="AD142" s="14"/>
    </row>
    <row r="143" spans="30:30">
      <c r="AD143" s="14"/>
    </row>
    <row r="144" spans="30:30">
      <c r="AD144" s="14"/>
    </row>
    <row r="145" spans="30:30">
      <c r="AD145" s="14"/>
    </row>
    <row r="146" spans="30:30">
      <c r="AD146" s="14"/>
    </row>
    <row r="147" spans="30:30">
      <c r="AD147" s="14"/>
    </row>
    <row r="148" spans="30:30">
      <c r="AD148" s="14"/>
    </row>
    <row r="149" spans="30:30">
      <c r="AD149" s="14"/>
    </row>
    <row r="150" spans="30:30">
      <c r="AD150" s="14"/>
    </row>
    <row r="151" spans="30:30">
      <c r="AD151" s="14"/>
    </row>
    <row r="152" spans="30:30">
      <c r="AD152" s="14"/>
    </row>
    <row r="153" spans="30:30">
      <c r="AD153" s="14"/>
    </row>
    <row r="154" spans="30:30">
      <c r="AD154" s="14"/>
    </row>
    <row r="155" spans="30:30">
      <c r="AD155" s="14"/>
    </row>
    <row r="156" spans="30:30">
      <c r="AD156" s="14"/>
    </row>
    <row r="157" spans="30:30">
      <c r="AD157" s="14"/>
    </row>
    <row r="158" spans="30:30">
      <c r="AD158" s="14"/>
    </row>
    <row r="159" spans="30:30">
      <c r="AD159" s="14"/>
    </row>
    <row r="160" spans="30:30">
      <c r="AD160" s="14"/>
    </row>
    <row r="161" spans="30:30">
      <c r="AD161" s="14"/>
    </row>
    <row r="162" spans="30:30">
      <c r="AD162" s="14"/>
    </row>
    <row r="163" spans="30:30">
      <c r="AD163" s="14"/>
    </row>
    <row r="164" spans="30:30">
      <c r="AD164" s="14"/>
    </row>
    <row r="165" spans="30:30">
      <c r="AD165" s="14"/>
    </row>
    <row r="166" spans="30:30">
      <c r="AD166" s="14"/>
    </row>
    <row r="167" spans="30:30">
      <c r="AD167" s="14"/>
    </row>
    <row r="168" spans="30:30">
      <c r="AD168" s="14"/>
    </row>
    <row r="169" spans="30:30">
      <c r="AD169" s="14"/>
    </row>
    <row r="170" spans="30:30">
      <c r="AD170" s="14"/>
    </row>
    <row r="171" spans="30:30">
      <c r="AD171" s="14"/>
    </row>
    <row r="172" spans="30:30">
      <c r="AD172" s="14"/>
    </row>
    <row r="173" spans="30:30">
      <c r="AD173" s="14"/>
    </row>
    <row r="174" spans="30:30">
      <c r="AD174" s="14"/>
    </row>
    <row r="175" spans="30:30">
      <c r="AD175" s="14"/>
    </row>
    <row r="176" spans="30:30">
      <c r="AD176" s="14"/>
    </row>
    <row r="177" spans="30:30">
      <c r="AD177" s="14"/>
    </row>
    <row r="178" spans="30:30">
      <c r="AD178" s="14"/>
    </row>
    <row r="179" spans="30:30">
      <c r="AD179" s="14"/>
    </row>
    <row r="180" spans="30:30">
      <c r="AD180" s="14"/>
    </row>
    <row r="181" spans="30:30">
      <c r="AD181" s="14"/>
    </row>
    <row r="182" spans="30:30">
      <c r="AD182" s="14"/>
    </row>
    <row r="183" spans="30:30">
      <c r="AD183" s="14"/>
    </row>
    <row r="184" spans="30:30">
      <c r="AD184" s="14"/>
    </row>
    <row r="185" spans="30:30">
      <c r="AD185" s="14"/>
    </row>
    <row r="186" spans="30:30">
      <c r="AD186" s="14"/>
    </row>
    <row r="187" spans="30:30">
      <c r="AD187" s="14"/>
    </row>
    <row r="188" spans="30:30">
      <c r="AD188" s="14"/>
    </row>
    <row r="189" spans="30:30">
      <c r="AD189" s="14"/>
    </row>
    <row r="190" spans="30:30">
      <c r="AD190" s="14"/>
    </row>
    <row r="191" spans="30:30">
      <c r="AD191" s="14"/>
    </row>
    <row r="192" spans="30:30">
      <c r="AD192" s="14"/>
    </row>
    <row r="193" spans="30:30">
      <c r="AD193" s="14"/>
    </row>
    <row r="194" spans="30:30">
      <c r="AD194" s="14"/>
    </row>
    <row r="195" spans="30:30">
      <c r="AD195" s="14"/>
    </row>
    <row r="196" spans="30:30">
      <c r="AD196" s="14"/>
    </row>
    <row r="197" spans="30:30">
      <c r="AD197" s="14"/>
    </row>
    <row r="198" spans="30:30">
      <c r="AD198" s="14"/>
    </row>
    <row r="199" spans="30:30">
      <c r="AD199" s="14"/>
    </row>
    <row r="200" spans="30:30">
      <c r="AD200" s="14"/>
    </row>
  </sheetData>
  <dataConsolidate/>
  <mergeCells count="30">
    <mergeCell ref="AE2:AN2"/>
    <mergeCell ref="AO2:AX2"/>
    <mergeCell ref="AE1:AX1"/>
    <mergeCell ref="A1:A3"/>
    <mergeCell ref="B1:B3"/>
    <mergeCell ref="D1:E2"/>
    <mergeCell ref="F1:F3"/>
    <mergeCell ref="G1:G3"/>
    <mergeCell ref="C1:C3"/>
    <mergeCell ref="H1:H3"/>
    <mergeCell ref="I1:I3"/>
    <mergeCell ref="J1:J3"/>
    <mergeCell ref="K1:K3"/>
    <mergeCell ref="L1:L3"/>
    <mergeCell ref="BE1:BE3"/>
    <mergeCell ref="M1:M3"/>
    <mergeCell ref="N1:N3"/>
    <mergeCell ref="V1:X1"/>
    <mergeCell ref="P2:R2"/>
    <mergeCell ref="S2:S3"/>
    <mergeCell ref="V2:V3"/>
    <mergeCell ref="W2:W3"/>
    <mergeCell ref="X2:X3"/>
    <mergeCell ref="AY1:BD2"/>
    <mergeCell ref="O1:O3"/>
    <mergeCell ref="P1:T1"/>
    <mergeCell ref="U1:U3"/>
    <mergeCell ref="T2:T3"/>
    <mergeCell ref="Y2:AD2"/>
    <mergeCell ref="Y1:AD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1000000}">
          <x14:formula1>
            <xm:f>'Ref.'!$D$2:$D$3</xm:f>
          </x14:formula1>
          <xm:sqref>I4:I200</xm:sqref>
        </x14:dataValidation>
        <x14:dataValidation type="list" allowBlank="1" showInputMessage="1" showErrorMessage="1" xr:uid="{00000000-0002-0000-0000-000002000000}">
          <x14:formula1>
            <xm:f>'Ref.'!$E$2:$E$3</xm:f>
          </x14:formula1>
          <xm:sqref>K4:K200</xm:sqref>
        </x14:dataValidation>
        <x14:dataValidation type="list" allowBlank="1" showInputMessage="1" showErrorMessage="1" xr:uid="{00000000-0002-0000-0000-000003000000}">
          <x14:formula1>
            <xm:f>'Ref.'!$F$2:$F$4</xm:f>
          </x14:formula1>
          <xm:sqref>J4:J200</xm:sqref>
        </x14:dataValidation>
        <x14:dataValidation type="list" allowBlank="1" showInputMessage="1" showErrorMessage="1" xr:uid="{00000000-0002-0000-0000-000004000000}">
          <x14:formula1>
            <xm:f>'Ref.'!$G$2:$G$3</xm:f>
          </x14:formula1>
          <xm:sqref>L4:L200</xm:sqref>
        </x14:dataValidation>
        <x14:dataValidation type="list" allowBlank="1" showInputMessage="1" showErrorMessage="1" xr:uid="{00000000-0002-0000-0000-000006000000}">
          <x14:formula1>
            <xm:f>'Ref.'!$I$2:$I$3</xm:f>
          </x14:formula1>
          <xm:sqref>V4:V200</xm:sqref>
        </x14:dataValidation>
        <x14:dataValidation type="list" allowBlank="1" showInputMessage="1" showErrorMessage="1" xr:uid="{00000000-0002-0000-0000-000007000000}">
          <x14:formula1>
            <xm:f>'Ref.'!$J$2:$J$3</xm:f>
          </x14:formula1>
          <xm:sqref>X4:X200</xm:sqref>
        </x14:dataValidation>
        <x14:dataValidation type="list" allowBlank="1" showInputMessage="1" showErrorMessage="1" xr:uid="{00000000-0002-0000-0000-00000D000000}">
          <x14:formula1>
            <xm:f>'Ref.'!$P$4:$P$5</xm:f>
          </x14:formula1>
          <xm:sqref>AF13:AN14 AO4:AO6 AO11:AO200 AE4:AE200 AY4:BD6 AY11:BD200</xm:sqref>
        </x14:dataValidation>
        <x14:dataValidation type="list" allowBlank="1" showInputMessage="1" showErrorMessage="1" xr:uid="{00000000-0002-0000-0000-00000E000000}">
          <x14:formula1>
            <xm:f>'Ref.'!$Q$4:$Q$5</xm:f>
          </x14:formula1>
          <xm:sqref>AP11:AP200 AP4:AP6 AF4:AF6 AF11:AF12 AF15:AF200</xm:sqref>
        </x14:dataValidation>
        <x14:dataValidation type="list" allowBlank="1" showInputMessage="1" showErrorMessage="1" xr:uid="{00000000-0002-0000-0000-00000F000000}">
          <x14:formula1>
            <xm:f>'Ref.'!$R$4:$R$5</xm:f>
          </x14:formula1>
          <xm:sqref>AQ11:AQ200 AQ4:AQ6 AG4:AG6 AG11:AG12 AG15:AG200</xm:sqref>
        </x14:dataValidation>
        <x14:dataValidation type="list" allowBlank="1" showInputMessage="1" showErrorMessage="1" xr:uid="{00000000-0002-0000-0000-000010000000}">
          <x14:formula1>
            <xm:f>'Ref.'!$S$4:$S$5</xm:f>
          </x14:formula1>
          <xm:sqref>AR11:AR200 AR4:AR6 AH4:AH6 AH11:AH12 AH15:AH200</xm:sqref>
        </x14:dataValidation>
        <x14:dataValidation type="list" allowBlank="1" showInputMessage="1" showErrorMessage="1" xr:uid="{00000000-0002-0000-0000-000011000000}">
          <x14:formula1>
            <xm:f>'Ref.'!$T$4:$T$5</xm:f>
          </x14:formula1>
          <xm:sqref>AS11:AS200 AS4:AS6 AI4:AI6 AI11:AI12 AI15:AI200</xm:sqref>
        </x14:dataValidation>
        <x14:dataValidation type="list" allowBlank="1" showInputMessage="1" showErrorMessage="1" xr:uid="{00000000-0002-0000-0000-000012000000}">
          <x14:formula1>
            <xm:f>'Ref.'!$U$4:$U$5</xm:f>
          </x14:formula1>
          <xm:sqref>AT11:AT200 AT4:AT6 AJ4:AJ6 AJ11:AJ12 AJ15:AJ200</xm:sqref>
        </x14:dataValidation>
        <x14:dataValidation type="list" allowBlank="1" showInputMessage="1" showErrorMessage="1" xr:uid="{00000000-0002-0000-0000-000013000000}">
          <x14:formula1>
            <xm:f>'Ref.'!$V$4:$V$5</xm:f>
          </x14:formula1>
          <xm:sqref>AU11:AU200 AU4:AU6 AK4:AK6 AK11:AK12 AK15:AK200</xm:sqref>
        </x14:dataValidation>
        <x14:dataValidation type="list" allowBlank="1" showInputMessage="1" showErrorMessage="1" xr:uid="{00000000-0002-0000-0000-000014000000}">
          <x14:formula1>
            <xm:f>'Ref.'!$W$4:$W$5</xm:f>
          </x14:formula1>
          <xm:sqref>AV11:AV200 AV4:AV6 AL4:AL6 AL11:AL12 AL15:AL200</xm:sqref>
        </x14:dataValidation>
        <x14:dataValidation type="list" allowBlank="1" showInputMessage="1" showErrorMessage="1" xr:uid="{00000000-0002-0000-0000-000015000000}">
          <x14:formula1>
            <xm:f>'Ref.'!$X$4:$X$5</xm:f>
          </x14:formula1>
          <xm:sqref>AW11:AX200 AW4:AX6 AM4:AN6 AM11:AN12 AM15:AN200</xm:sqref>
        </x14:dataValidation>
        <x14:dataValidation type="list" allowBlank="1" showInputMessage="1" showErrorMessage="1" xr:uid="{00000000-0002-0000-0000-000017000000}">
          <x14:formula1>
            <xm:f>'Ref.'!$A$2:$A$10</xm:f>
          </x14:formula1>
          <xm:sqref>D4:D200</xm:sqref>
        </x14:dataValidation>
        <x14:dataValidation type="list" allowBlank="1" showInputMessage="1" showErrorMessage="1" xr:uid="{00000000-0002-0000-0000-000018000000}">
          <x14:formula1>
            <xm:f>'Ref.'!$B$2:$B$10</xm:f>
          </x14:formula1>
          <xm:sqref>E4:E200</xm:sqref>
        </x14:dataValidation>
        <x14:dataValidation type="list" allowBlank="1" showInputMessage="1" showErrorMessage="1" xr:uid="{00000000-0002-0000-0000-000019000000}">
          <x14:formula1>
            <xm:f>'Ref.'!$Z$2:$Z$4</xm:f>
          </x14:formula1>
          <xm:sqref>T4:T200</xm:sqref>
        </x14:dataValidation>
        <x14:dataValidation type="list" allowBlank="1" showInputMessage="1" showErrorMessage="1" xr:uid="{00000000-0002-0000-0000-00001C000000}">
          <x14:formula1>
            <xm:f>'Ref.'!$P$2:$P$3</xm:f>
          </x14:formula1>
          <xm:sqref>AF7:BD10</xm:sqref>
        </x14:dataValidation>
        <x14:dataValidation type="list" allowBlank="1" showInputMessage="1" showErrorMessage="1" xr:uid="{43451001-78CE-43B9-99DF-0E448384E586}">
          <x14:formula1>
            <xm:f>'Ref.'!$AE$2:$AE$5</xm:f>
          </x14:formula1>
          <xm:sqref>C4:C1048576</xm:sqref>
        </x14:dataValidation>
        <x14:dataValidation type="list" allowBlank="1" showInputMessage="1" showErrorMessage="1" xr:uid="{00000000-0002-0000-0000-00001B000000}">
          <x14:formula1>
            <xm:f>'Ref.'!$A$66:$A$134</xm:f>
          </x14:formula1>
          <xm:sqref>A4:A200</xm:sqref>
        </x14:dataValidation>
        <x14:dataValidation type="list" allowBlank="1" showInputMessage="1" showErrorMessage="1" xr:uid="{292D552E-24DA-4800-AB42-757AADFDECEA}">
          <x14:formula1>
            <xm:f>'Ref.'!$H$4:$H$5</xm:f>
          </x14:formula1>
          <xm:sqref>P4:R1048576</xm:sqref>
        </x14:dataValidation>
        <x14:dataValidation type="list" allowBlank="1" showInputMessage="1" showErrorMessage="1" xr:uid="{9B2CC979-E362-4010-A3CC-95E374613B17}">
          <x14:formula1>
            <xm:f>'Ref.'!$AB$2:$AB$3</xm:f>
          </x14:formula1>
          <xm:sqref>Y4:AD1048576</xm:sqref>
        </x14:dataValidation>
        <x14:dataValidation type="list" allowBlank="1" showInputMessage="1" showErrorMessage="1" xr:uid="{EB1F88A6-270A-46E4-8F51-AA09129BA066}">
          <x14:formula1>
            <xm:f>'Ref.'!$C$2:$C$3</xm:f>
          </x14:formula1>
          <xm:sqref>G4:G1048576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BM3"/>
  <sheetViews>
    <sheetView topLeftCell="AS1" workbookViewId="0">
      <pane ySplit="3" topLeftCell="A4" activePane="bottomLeft" state="frozen"/>
      <selection pane="bottomLeft" activeCell="AX13" sqref="AX13"/>
    </sheetView>
  </sheetViews>
  <sheetFormatPr defaultColWidth="23.90625" defaultRowHeight="14.5"/>
  <cols>
    <col min="1" max="4" width="23.90625" style="14"/>
    <col min="5" max="5" width="23.90625" style="22"/>
    <col min="6" max="17" width="23.90625" style="14"/>
    <col min="18" max="18" width="23.90625" style="23"/>
    <col min="19" max="28" width="23.90625" style="14"/>
    <col min="29" max="29" width="23.90625" style="23"/>
    <col min="30" max="30" width="23.90625" style="22"/>
    <col min="31" max="32" width="23.90625" style="14"/>
    <col min="33" max="33" width="23.90625" style="23"/>
    <col min="34" max="34" width="23.90625" style="22"/>
    <col min="35" max="47" width="23.90625" style="14"/>
    <col min="48" max="48" width="23.90625" style="23"/>
    <col min="49" max="49" width="23.90625" style="22"/>
    <col min="50" max="56" width="23.90625" style="14"/>
    <col min="57" max="57" width="23.90625" style="23"/>
    <col min="58" max="63" width="23.90625" style="14"/>
    <col min="64" max="64" width="23.90625" style="24"/>
    <col min="65" max="65" width="55.08984375" style="24" customWidth="1"/>
    <col min="66" max="16384" width="23.90625" style="14"/>
  </cols>
  <sheetData>
    <row r="1" spans="1:65" ht="33.75" customHeight="1">
      <c r="A1" s="210" t="s">
        <v>49</v>
      </c>
      <c r="B1" s="227" t="s">
        <v>104</v>
      </c>
      <c r="C1" s="213" t="s">
        <v>105</v>
      </c>
      <c r="D1" s="233" t="s">
        <v>106</v>
      </c>
      <c r="E1" s="230" t="s">
        <v>107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2"/>
      <c r="S1" s="230" t="s">
        <v>108</v>
      </c>
      <c r="T1" s="231"/>
      <c r="U1" s="231"/>
      <c r="V1" s="231"/>
      <c r="W1" s="231"/>
      <c r="X1" s="231"/>
      <c r="Y1" s="231"/>
      <c r="Z1" s="231"/>
      <c r="AA1" s="231"/>
      <c r="AB1" s="231"/>
      <c r="AC1" s="232"/>
      <c r="AD1" s="193" t="s">
        <v>109</v>
      </c>
      <c r="AE1" s="185"/>
      <c r="AF1" s="185"/>
      <c r="AG1" s="195"/>
      <c r="AH1" s="224" t="s">
        <v>110</v>
      </c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6"/>
      <c r="AT1" s="222" t="s">
        <v>111</v>
      </c>
      <c r="AU1" s="222" t="s">
        <v>112</v>
      </c>
      <c r="AV1" s="236" t="s">
        <v>63</v>
      </c>
      <c r="AW1" s="197" t="s">
        <v>470</v>
      </c>
      <c r="AX1" s="198"/>
      <c r="AY1" s="198"/>
      <c r="AZ1" s="198"/>
      <c r="BA1" s="198"/>
      <c r="BB1" s="198"/>
      <c r="BC1" s="198"/>
      <c r="BD1" s="198"/>
      <c r="BE1" s="239"/>
      <c r="BF1" s="198" t="s">
        <v>494</v>
      </c>
      <c r="BG1" s="198"/>
      <c r="BH1" s="198"/>
      <c r="BI1" s="198"/>
      <c r="BJ1" s="198"/>
      <c r="BK1" s="198"/>
      <c r="BL1" s="241" t="s">
        <v>114</v>
      </c>
      <c r="BM1" s="233" t="s">
        <v>115</v>
      </c>
    </row>
    <row r="2" spans="1:65" ht="57.65" customHeight="1">
      <c r="A2" s="211"/>
      <c r="B2" s="228"/>
      <c r="C2" s="214"/>
      <c r="D2" s="234"/>
      <c r="E2" s="216" t="s">
        <v>116</v>
      </c>
      <c r="F2" s="186"/>
      <c r="G2" s="186"/>
      <c r="H2" s="186"/>
      <c r="I2" s="186"/>
      <c r="J2" s="186" t="s">
        <v>117</v>
      </c>
      <c r="K2" s="186"/>
      <c r="L2" s="186"/>
      <c r="M2" s="186"/>
      <c r="N2" s="186"/>
      <c r="O2" s="15"/>
      <c r="P2" s="186" t="s">
        <v>118</v>
      </c>
      <c r="Q2" s="186" t="s">
        <v>119</v>
      </c>
      <c r="R2" s="214" t="s">
        <v>120</v>
      </c>
      <c r="S2" s="216" t="s">
        <v>121</v>
      </c>
      <c r="T2" s="186"/>
      <c r="U2" s="186"/>
      <c r="V2" s="186"/>
      <c r="W2" s="186"/>
      <c r="X2" s="186" t="s">
        <v>122</v>
      </c>
      <c r="Y2" s="186"/>
      <c r="Z2" s="186"/>
      <c r="AA2" s="186"/>
      <c r="AB2" s="186"/>
      <c r="AC2" s="33"/>
      <c r="AD2" s="216" t="s">
        <v>123</v>
      </c>
      <c r="AE2" s="186"/>
      <c r="AF2" s="186"/>
      <c r="AG2" s="201"/>
      <c r="AH2" s="216" t="s">
        <v>124</v>
      </c>
      <c r="AI2" s="216" t="s">
        <v>121</v>
      </c>
      <c r="AJ2" s="186"/>
      <c r="AK2" s="186"/>
      <c r="AL2" s="186"/>
      <c r="AM2" s="186"/>
      <c r="AN2" s="186" t="s">
        <v>122</v>
      </c>
      <c r="AO2" s="186"/>
      <c r="AP2" s="186"/>
      <c r="AQ2" s="186"/>
      <c r="AR2" s="186"/>
      <c r="AS2" s="220" t="s">
        <v>120</v>
      </c>
      <c r="AT2" s="223"/>
      <c r="AU2" s="223"/>
      <c r="AV2" s="237"/>
      <c r="AW2" s="199"/>
      <c r="AX2" s="200"/>
      <c r="AY2" s="200"/>
      <c r="AZ2" s="200"/>
      <c r="BA2" s="200"/>
      <c r="BB2" s="200"/>
      <c r="BC2" s="200"/>
      <c r="BD2" s="200"/>
      <c r="BE2" s="240"/>
      <c r="BF2" s="200"/>
      <c r="BG2" s="200"/>
      <c r="BH2" s="200"/>
      <c r="BI2" s="200"/>
      <c r="BJ2" s="200"/>
      <c r="BK2" s="200"/>
      <c r="BL2" s="242"/>
      <c r="BM2" s="234"/>
    </row>
    <row r="3" spans="1:65" ht="75.650000000000006" customHeight="1" thickBot="1">
      <c r="A3" s="212"/>
      <c r="B3" s="229"/>
      <c r="C3" s="215"/>
      <c r="D3" s="235"/>
      <c r="E3" s="16" t="s">
        <v>83</v>
      </c>
      <c r="F3" s="17" t="s">
        <v>84</v>
      </c>
      <c r="G3" s="17" t="s">
        <v>87</v>
      </c>
      <c r="H3" s="17" t="s">
        <v>85</v>
      </c>
      <c r="I3" s="17" t="s">
        <v>86</v>
      </c>
      <c r="J3" s="16" t="s">
        <v>83</v>
      </c>
      <c r="K3" s="17" t="s">
        <v>84</v>
      </c>
      <c r="L3" s="17" t="s">
        <v>87</v>
      </c>
      <c r="M3" s="17" t="s">
        <v>85</v>
      </c>
      <c r="N3" s="17" t="s">
        <v>86</v>
      </c>
      <c r="O3" s="17" t="s">
        <v>120</v>
      </c>
      <c r="P3" s="187"/>
      <c r="Q3" s="187"/>
      <c r="R3" s="215"/>
      <c r="S3" s="16" t="s">
        <v>83</v>
      </c>
      <c r="T3" s="17" t="s">
        <v>84</v>
      </c>
      <c r="U3" s="17" t="s">
        <v>87</v>
      </c>
      <c r="V3" s="17" t="s">
        <v>85</v>
      </c>
      <c r="W3" s="17" t="s">
        <v>86</v>
      </c>
      <c r="X3" s="16" t="s">
        <v>83</v>
      </c>
      <c r="Y3" s="17" t="s">
        <v>84</v>
      </c>
      <c r="Z3" s="17" t="s">
        <v>87</v>
      </c>
      <c r="AA3" s="17" t="s">
        <v>85</v>
      </c>
      <c r="AB3" s="17" t="s">
        <v>86</v>
      </c>
      <c r="AC3" s="34" t="s">
        <v>120</v>
      </c>
      <c r="AD3" s="35" t="s">
        <v>125</v>
      </c>
      <c r="AE3" s="36" t="s">
        <v>126</v>
      </c>
      <c r="AF3" s="36" t="s">
        <v>127</v>
      </c>
      <c r="AG3" s="37" t="s">
        <v>128</v>
      </c>
      <c r="AH3" s="194"/>
      <c r="AI3" s="16" t="s">
        <v>83</v>
      </c>
      <c r="AJ3" s="17" t="s">
        <v>84</v>
      </c>
      <c r="AK3" s="17" t="s">
        <v>87</v>
      </c>
      <c r="AL3" s="17" t="s">
        <v>85</v>
      </c>
      <c r="AM3" s="17" t="s">
        <v>86</v>
      </c>
      <c r="AN3" s="16" t="s">
        <v>83</v>
      </c>
      <c r="AO3" s="17" t="s">
        <v>84</v>
      </c>
      <c r="AP3" s="17" t="s">
        <v>87</v>
      </c>
      <c r="AQ3" s="17" t="s">
        <v>85</v>
      </c>
      <c r="AR3" s="17" t="s">
        <v>86</v>
      </c>
      <c r="AS3" s="221"/>
      <c r="AT3" s="221"/>
      <c r="AU3" s="221"/>
      <c r="AV3" s="238"/>
      <c r="AW3" s="18" t="s">
        <v>88</v>
      </c>
      <c r="AX3" s="19" t="s">
        <v>469</v>
      </c>
      <c r="AY3" s="19" t="s">
        <v>91</v>
      </c>
      <c r="AZ3" s="19" t="s">
        <v>92</v>
      </c>
      <c r="BA3" s="19" t="s">
        <v>93</v>
      </c>
      <c r="BB3" s="19" t="s">
        <v>94</v>
      </c>
      <c r="BC3" s="19" t="s">
        <v>95</v>
      </c>
      <c r="BD3" s="19" t="s">
        <v>96</v>
      </c>
      <c r="BE3" s="20" t="s">
        <v>97</v>
      </c>
      <c r="BF3" s="18" t="s">
        <v>98</v>
      </c>
      <c r="BG3" s="19" t="s">
        <v>99</v>
      </c>
      <c r="BH3" s="19" t="s">
        <v>100</v>
      </c>
      <c r="BI3" s="19" t="s">
        <v>101</v>
      </c>
      <c r="BJ3" s="19" t="s">
        <v>102</v>
      </c>
      <c r="BK3" s="20" t="s">
        <v>103</v>
      </c>
      <c r="BL3" s="243"/>
      <c r="BM3" s="235"/>
    </row>
  </sheetData>
  <mergeCells count="27">
    <mergeCell ref="BF1:BK2"/>
    <mergeCell ref="AV1:AV3"/>
    <mergeCell ref="AW1:BE2"/>
    <mergeCell ref="BM1:BM3"/>
    <mergeCell ref="BL1:BL3"/>
    <mergeCell ref="A1:A3"/>
    <mergeCell ref="B1:B3"/>
    <mergeCell ref="C1:C3"/>
    <mergeCell ref="S1:AC1"/>
    <mergeCell ref="R2:R3"/>
    <mergeCell ref="E2:I2"/>
    <mergeCell ref="J2:N2"/>
    <mergeCell ref="P2:P3"/>
    <mergeCell ref="Q2:Q3"/>
    <mergeCell ref="E1:R1"/>
    <mergeCell ref="S2:W2"/>
    <mergeCell ref="D1:D3"/>
    <mergeCell ref="AS2:AS3"/>
    <mergeCell ref="AT1:AT3"/>
    <mergeCell ref="AU1:AU3"/>
    <mergeCell ref="X2:AB2"/>
    <mergeCell ref="AD1:AG1"/>
    <mergeCell ref="AD2:AG2"/>
    <mergeCell ref="AH2:AH3"/>
    <mergeCell ref="AI2:AM2"/>
    <mergeCell ref="AN2:AR2"/>
    <mergeCell ref="AH1:AS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'Ref.'!$B$15:$B$17</xm:f>
          </x14:formula1>
          <xm:sqref>Q4:Q200</xm:sqref>
        </x14:dataValidation>
        <x14:dataValidation type="list" allowBlank="1" showInputMessage="1" showErrorMessage="1" xr:uid="{00000000-0002-0000-0100-000001000000}">
          <x14:formula1>
            <xm:f>'Ref.'!$P$4:$P$5</xm:f>
          </x14:formula1>
          <xm:sqref>AW4:BK200 AD4:AG200</xm:sqref>
        </x14:dataValidation>
        <x14:dataValidation type="list" allowBlank="1" showInputMessage="1" showErrorMessage="1" xr:uid="{00000000-0002-0000-0100-000002000000}">
          <x14:formula1>
            <xm:f>'Ref.'!$D$15:$D$18</xm:f>
          </x14:formula1>
          <xm:sqref>AH4:AH200</xm:sqref>
        </x14:dataValidation>
        <x14:dataValidation type="list" allowBlank="1" showInputMessage="1" showErrorMessage="1" xr:uid="{00000000-0002-0000-0100-000003000000}">
          <x14:formula1>
            <xm:f>'Ref.'!$A$16:$A$27</xm:f>
          </x14:formula1>
          <xm:sqref>C4:C200</xm:sqref>
        </x14:dataValidation>
        <x14:dataValidation type="list" allowBlank="1" showInputMessage="1" showErrorMessage="1" xr:uid="{00000000-0002-0000-0100-000004000000}">
          <x14:formula1>
            <xm:f>'Ref.'!$A$66:$A$134</xm:f>
          </x14:formula1>
          <xm:sqref>A4:A200</xm:sqref>
        </x14:dataValidation>
        <x14:dataValidation type="list" allowBlank="1" showInputMessage="1" showErrorMessage="1" xr:uid="{2C9A272F-4440-4C08-9A24-D03921676F2B}">
          <x14:formula1>
            <xm:f>'Ref.'!$AF$2:$AF$6</xm:f>
          </x14:formula1>
          <xm:sqref>D4:D1048576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AP3"/>
  <sheetViews>
    <sheetView workbookViewId="0">
      <pane ySplit="3" topLeftCell="A4" activePane="bottomLeft" state="frozen"/>
      <selection pane="bottomLeft" activeCell="C6" sqref="C6"/>
    </sheetView>
  </sheetViews>
  <sheetFormatPr defaultColWidth="24.90625" defaultRowHeight="14.5"/>
  <cols>
    <col min="1" max="1" width="24.90625" style="22"/>
    <col min="2" max="2" width="24.90625" style="23"/>
    <col min="3" max="3" width="24.90625" style="24"/>
    <col min="4" max="5" width="24.90625" style="22"/>
    <col min="6" max="15" width="24.90625" style="14"/>
    <col min="16" max="16" width="24.90625" style="23"/>
    <col min="17" max="17" width="24.90625" style="22"/>
    <col min="18" max="24" width="24.90625" style="14"/>
    <col min="25" max="25" width="24.90625" style="23"/>
    <col min="26" max="31" width="24.90625" style="14"/>
    <col min="32" max="32" width="24.90625" style="22"/>
    <col min="33" max="35" width="24.90625" style="14"/>
    <col min="36" max="36" width="24.90625" style="23"/>
    <col min="37" max="37" width="24.90625" style="22"/>
    <col min="38" max="40" width="24.90625" style="14"/>
    <col min="41" max="41" width="24.90625" style="23"/>
    <col min="42" max="42" width="68.90625" style="24" customWidth="1"/>
    <col min="43" max="16384" width="24.90625" style="14"/>
  </cols>
  <sheetData>
    <row r="1" spans="1:42" ht="15" customHeight="1">
      <c r="A1" s="210" t="s">
        <v>49</v>
      </c>
      <c r="B1" s="213" t="s">
        <v>104</v>
      </c>
      <c r="C1" s="244" t="s">
        <v>130</v>
      </c>
      <c r="D1" s="233" t="s">
        <v>106</v>
      </c>
      <c r="E1" s="210" t="s">
        <v>131</v>
      </c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41" t="s">
        <v>132</v>
      </c>
      <c r="Q1" s="210" t="s">
        <v>113</v>
      </c>
      <c r="R1" s="227"/>
      <c r="S1" s="227"/>
      <c r="T1" s="227"/>
      <c r="U1" s="227"/>
      <c r="V1" s="227"/>
      <c r="W1" s="227"/>
      <c r="X1" s="227"/>
      <c r="Y1" s="213"/>
      <c r="Z1" s="197" t="s">
        <v>470</v>
      </c>
      <c r="AA1" s="198"/>
      <c r="AB1" s="198"/>
      <c r="AC1" s="198"/>
      <c r="AD1" s="198"/>
      <c r="AE1" s="198"/>
      <c r="AF1" s="249" t="s">
        <v>133</v>
      </c>
      <c r="AG1" s="250"/>
      <c r="AH1" s="250"/>
      <c r="AI1" s="250"/>
      <c r="AJ1" s="217"/>
      <c r="AK1" s="249" t="s">
        <v>134</v>
      </c>
      <c r="AL1" s="250"/>
      <c r="AM1" s="250"/>
      <c r="AN1" s="250"/>
      <c r="AO1" s="217"/>
      <c r="AP1" s="233" t="s">
        <v>135</v>
      </c>
    </row>
    <row r="2" spans="1:42" ht="55.4" customHeight="1">
      <c r="A2" s="211"/>
      <c r="B2" s="214"/>
      <c r="C2" s="245"/>
      <c r="D2" s="234"/>
      <c r="E2" s="216" t="s">
        <v>121</v>
      </c>
      <c r="F2" s="186"/>
      <c r="G2" s="186"/>
      <c r="H2" s="186"/>
      <c r="I2" s="186"/>
      <c r="J2" s="186" t="s">
        <v>136</v>
      </c>
      <c r="K2" s="186"/>
      <c r="L2" s="186"/>
      <c r="M2" s="186"/>
      <c r="N2" s="186"/>
      <c r="O2" s="15"/>
      <c r="P2" s="247"/>
      <c r="Q2" s="211"/>
      <c r="R2" s="228"/>
      <c r="S2" s="228"/>
      <c r="T2" s="228"/>
      <c r="U2" s="228"/>
      <c r="V2" s="228"/>
      <c r="W2" s="228"/>
      <c r="X2" s="228"/>
      <c r="Y2" s="214"/>
      <c r="Z2" s="199"/>
      <c r="AA2" s="200"/>
      <c r="AB2" s="200"/>
      <c r="AC2" s="200"/>
      <c r="AD2" s="200"/>
      <c r="AE2" s="200"/>
      <c r="AF2" s="251"/>
      <c r="AG2" s="252"/>
      <c r="AH2" s="252"/>
      <c r="AI2" s="252"/>
      <c r="AJ2" s="253"/>
      <c r="AK2" s="251"/>
      <c r="AL2" s="252"/>
      <c r="AM2" s="252"/>
      <c r="AN2" s="252"/>
      <c r="AO2" s="253"/>
      <c r="AP2" s="234"/>
    </row>
    <row r="3" spans="1:42" ht="44" thickBot="1">
      <c r="A3" s="212"/>
      <c r="B3" s="215"/>
      <c r="C3" s="246"/>
      <c r="D3" s="235"/>
      <c r="E3" s="16" t="s">
        <v>83</v>
      </c>
      <c r="F3" s="17" t="s">
        <v>84</v>
      </c>
      <c r="G3" s="17" t="s">
        <v>87</v>
      </c>
      <c r="H3" s="17" t="s">
        <v>85</v>
      </c>
      <c r="I3" s="17" t="s">
        <v>86</v>
      </c>
      <c r="J3" s="17" t="s">
        <v>83</v>
      </c>
      <c r="K3" s="17" t="s">
        <v>84</v>
      </c>
      <c r="L3" s="17" t="s">
        <v>87</v>
      </c>
      <c r="M3" s="17" t="s">
        <v>85</v>
      </c>
      <c r="N3" s="17" t="s">
        <v>86</v>
      </c>
      <c r="O3" s="17" t="s">
        <v>120</v>
      </c>
      <c r="P3" s="248"/>
      <c r="Q3" s="18" t="s">
        <v>88</v>
      </c>
      <c r="R3" s="19" t="s">
        <v>469</v>
      </c>
      <c r="S3" s="19" t="s">
        <v>137</v>
      </c>
      <c r="T3" s="19" t="s">
        <v>92</v>
      </c>
      <c r="U3" s="19" t="s">
        <v>93</v>
      </c>
      <c r="V3" s="19" t="s">
        <v>94</v>
      </c>
      <c r="W3" s="19" t="s">
        <v>138</v>
      </c>
      <c r="X3" s="19" t="s">
        <v>96</v>
      </c>
      <c r="Y3" s="20" t="s">
        <v>97</v>
      </c>
      <c r="Z3" s="18" t="s">
        <v>98</v>
      </c>
      <c r="AA3" s="19" t="s">
        <v>99</v>
      </c>
      <c r="AB3" s="19" t="s">
        <v>100</v>
      </c>
      <c r="AC3" s="19" t="s">
        <v>101</v>
      </c>
      <c r="AD3" s="19" t="s">
        <v>102</v>
      </c>
      <c r="AE3" s="20" t="s">
        <v>103</v>
      </c>
      <c r="AF3" s="16" t="s">
        <v>83</v>
      </c>
      <c r="AG3" s="17" t="s">
        <v>84</v>
      </c>
      <c r="AH3" s="17" t="s">
        <v>87</v>
      </c>
      <c r="AI3" s="17" t="s">
        <v>85</v>
      </c>
      <c r="AJ3" s="21" t="s">
        <v>86</v>
      </c>
      <c r="AK3" s="16" t="s">
        <v>83</v>
      </c>
      <c r="AL3" s="17" t="s">
        <v>84</v>
      </c>
      <c r="AM3" s="17" t="s">
        <v>87</v>
      </c>
      <c r="AN3" s="17" t="s">
        <v>85</v>
      </c>
      <c r="AO3" s="21" t="s">
        <v>86</v>
      </c>
      <c r="AP3" s="235"/>
    </row>
  </sheetData>
  <mergeCells count="13">
    <mergeCell ref="AP1:AP3"/>
    <mergeCell ref="A1:A3"/>
    <mergeCell ref="B1:B3"/>
    <mergeCell ref="C1:C3"/>
    <mergeCell ref="E1:O1"/>
    <mergeCell ref="E2:I2"/>
    <mergeCell ref="J2:N2"/>
    <mergeCell ref="P1:P3"/>
    <mergeCell ref="Q1:Y2"/>
    <mergeCell ref="AF1:AJ2"/>
    <mergeCell ref="AK1:AO2"/>
    <mergeCell ref="Z1:AE2"/>
    <mergeCell ref="D1:D3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'Ref.'!$A$16:$A$27</xm:f>
          </x14:formula1>
          <xm:sqref>C4:C200</xm:sqref>
        </x14:dataValidation>
        <x14:dataValidation type="list" allowBlank="1" showInputMessage="1" showErrorMessage="1" xr:uid="{00000000-0002-0000-0200-000002000000}">
          <x14:formula1>
            <xm:f>'Ref.'!$P$4:$P$5</xm:f>
          </x14:formula1>
          <xm:sqref>Q4:AE200</xm:sqref>
        </x14:dataValidation>
        <x14:dataValidation type="list" allowBlank="1" showInputMessage="1" showErrorMessage="1" xr:uid="{00000000-0002-0000-0200-000000000000}">
          <x14:formula1>
            <xm:f>'Ref.'!$A$66:$A$134</xm:f>
          </x14:formula1>
          <xm:sqref>A4:A200</xm:sqref>
        </x14:dataValidation>
        <x14:dataValidation type="list" allowBlank="1" showInputMessage="1" showErrorMessage="1" xr:uid="{8356B23D-7C23-4D90-8629-841B8EE72D45}">
          <x14:formula1>
            <xm:f>'Ref.'!$AF$2:$AF$6</xm:f>
          </x14:formula1>
          <xm:sqref>D4:D1048576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EC3"/>
  <sheetViews>
    <sheetView zoomScaleNormal="100" workbookViewId="0">
      <pane ySplit="3" topLeftCell="A7" activePane="bottomLeft" state="frozen"/>
      <selection pane="bottomLeft" activeCell="D10" sqref="D10"/>
    </sheetView>
  </sheetViews>
  <sheetFormatPr defaultColWidth="27" defaultRowHeight="14.5"/>
  <cols>
    <col min="1" max="1" width="27" style="22"/>
    <col min="2" max="2" width="27" style="23"/>
    <col min="3" max="3" width="27" style="22"/>
    <col min="4" max="4" width="27" style="14"/>
    <col min="5" max="5" width="27" style="23"/>
    <col min="6" max="6" width="27" style="22"/>
    <col min="7" max="7" width="27" style="23"/>
    <col min="8" max="8" width="27" style="22"/>
    <col min="9" max="16" width="27" style="14"/>
    <col min="17" max="17" width="27" style="22"/>
    <col min="18" max="26" width="27" style="14"/>
    <col min="27" max="27" width="27" style="23"/>
    <col min="28" max="33" width="27" style="14"/>
    <col min="34" max="34" width="27" style="24"/>
    <col min="35" max="35" width="27" style="22"/>
    <col min="36" max="40" width="27" style="14"/>
    <col min="41" max="41" width="27" style="22"/>
    <col min="42" max="46" width="27" style="14"/>
    <col min="47" max="47" width="27" style="23"/>
    <col min="48" max="48" width="27" style="22"/>
    <col min="49" max="53" width="27" style="14"/>
    <col min="54" max="54" width="27" style="22"/>
    <col min="55" max="59" width="27" style="14"/>
    <col min="60" max="60" width="27" style="23"/>
    <col min="61" max="61" width="27" style="22"/>
    <col min="62" max="66" width="27" style="14"/>
    <col min="67" max="67" width="27" style="22"/>
    <col min="68" max="72" width="27" style="14"/>
    <col min="73" max="73" width="27" style="23"/>
    <col min="74" max="74" width="27" style="22"/>
    <col min="75" max="79" width="27" style="14"/>
    <col min="80" max="80" width="27" style="22"/>
    <col min="81" max="85" width="27" style="14"/>
    <col min="86" max="86" width="27" style="23"/>
    <col min="87" max="87" width="27" style="22"/>
    <col min="88" max="92" width="27" style="14"/>
    <col min="93" max="93" width="27" style="22"/>
    <col min="94" max="98" width="27" style="14"/>
    <col min="99" max="99" width="27" style="23"/>
    <col min="100" max="100" width="27" style="22"/>
    <col min="101" max="105" width="27" style="14"/>
    <col min="106" max="106" width="27" style="22"/>
    <col min="107" max="110" width="27" style="14"/>
    <col min="111" max="111" width="27" style="23"/>
    <col min="112" max="112" width="27" style="22"/>
    <col min="113" max="114" width="27" style="14"/>
    <col min="115" max="115" width="27" style="23"/>
    <col min="116" max="117" width="27" style="22"/>
    <col min="118" max="131" width="27" style="14"/>
    <col min="132" max="132" width="27" style="23"/>
    <col min="133" max="133" width="55.54296875" style="23" customWidth="1"/>
    <col min="134" max="16384" width="27" style="14"/>
  </cols>
  <sheetData>
    <row r="1" spans="1:133" ht="26.4" customHeight="1">
      <c r="A1" s="256" t="s">
        <v>49</v>
      </c>
      <c r="B1" s="259" t="s">
        <v>139</v>
      </c>
      <c r="C1" s="193" t="s">
        <v>140</v>
      </c>
      <c r="D1" s="185" t="s">
        <v>141</v>
      </c>
      <c r="E1" s="204" t="s">
        <v>120</v>
      </c>
      <c r="F1" s="193" t="s">
        <v>142</v>
      </c>
      <c r="G1" s="204" t="s">
        <v>143</v>
      </c>
      <c r="H1" s="224" t="s">
        <v>68</v>
      </c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  <c r="AA1" s="204" t="s">
        <v>144</v>
      </c>
      <c r="AB1" s="197" t="s">
        <v>495</v>
      </c>
      <c r="AC1" s="198"/>
      <c r="AD1" s="198"/>
      <c r="AE1" s="198"/>
      <c r="AF1" s="198"/>
      <c r="AG1" s="198"/>
      <c r="AH1" s="234" t="s">
        <v>145</v>
      </c>
      <c r="AI1" s="262" t="s">
        <v>146</v>
      </c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4"/>
      <c r="AV1" s="262" t="s">
        <v>147</v>
      </c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4"/>
      <c r="BI1" s="262" t="s">
        <v>148</v>
      </c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4"/>
      <c r="BV1" s="262" t="s">
        <v>149</v>
      </c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4"/>
      <c r="CI1" s="262" t="s">
        <v>150</v>
      </c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4"/>
      <c r="CV1" s="262" t="s">
        <v>151</v>
      </c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4"/>
      <c r="DH1" s="193" t="s">
        <v>152</v>
      </c>
      <c r="DI1" s="185"/>
      <c r="DJ1" s="185"/>
      <c r="DK1" s="204"/>
      <c r="DL1" s="249" t="s">
        <v>153</v>
      </c>
      <c r="DM1" s="254" t="s">
        <v>154</v>
      </c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204"/>
      <c r="EC1" s="217" t="s">
        <v>155</v>
      </c>
    </row>
    <row r="2" spans="1:133" s="25" customFormat="1" ht="70.400000000000006" customHeight="1">
      <c r="A2" s="257"/>
      <c r="B2" s="247"/>
      <c r="C2" s="216"/>
      <c r="D2" s="186"/>
      <c r="E2" s="260"/>
      <c r="F2" s="216"/>
      <c r="G2" s="260"/>
      <c r="H2" s="191" t="s">
        <v>156</v>
      </c>
      <c r="I2" s="192"/>
      <c r="J2" s="192"/>
      <c r="K2" s="192"/>
      <c r="L2" s="192"/>
      <c r="M2" s="192"/>
      <c r="N2" s="192"/>
      <c r="O2" s="192"/>
      <c r="P2" s="192"/>
      <c r="Q2" s="191" t="s">
        <v>157</v>
      </c>
      <c r="R2" s="192"/>
      <c r="S2" s="192"/>
      <c r="T2" s="192"/>
      <c r="U2" s="192"/>
      <c r="V2" s="192"/>
      <c r="W2" s="192"/>
      <c r="X2" s="192"/>
      <c r="Y2" s="192"/>
      <c r="Z2" s="192"/>
      <c r="AA2" s="260"/>
      <c r="AB2" s="199"/>
      <c r="AC2" s="200"/>
      <c r="AD2" s="200"/>
      <c r="AE2" s="200"/>
      <c r="AF2" s="200"/>
      <c r="AG2" s="200"/>
      <c r="AH2" s="234"/>
      <c r="AI2" s="266" t="s">
        <v>158</v>
      </c>
      <c r="AJ2" s="267"/>
      <c r="AK2" s="267"/>
      <c r="AL2" s="267"/>
      <c r="AM2" s="267"/>
      <c r="AN2" s="268"/>
      <c r="AO2" s="266" t="s">
        <v>159</v>
      </c>
      <c r="AP2" s="267"/>
      <c r="AQ2" s="267"/>
      <c r="AR2" s="267"/>
      <c r="AS2" s="267"/>
      <c r="AT2" s="269"/>
      <c r="AU2" s="265" t="s">
        <v>160</v>
      </c>
      <c r="AV2" s="266" t="s">
        <v>158</v>
      </c>
      <c r="AW2" s="267"/>
      <c r="AX2" s="267"/>
      <c r="AY2" s="267"/>
      <c r="AZ2" s="267"/>
      <c r="BA2" s="268"/>
      <c r="BB2" s="266" t="s">
        <v>159</v>
      </c>
      <c r="BC2" s="267"/>
      <c r="BD2" s="267"/>
      <c r="BE2" s="267"/>
      <c r="BF2" s="267"/>
      <c r="BG2" s="269"/>
      <c r="BH2" s="265" t="s">
        <v>160</v>
      </c>
      <c r="BI2" s="266" t="s">
        <v>158</v>
      </c>
      <c r="BJ2" s="267"/>
      <c r="BK2" s="267"/>
      <c r="BL2" s="267"/>
      <c r="BM2" s="267"/>
      <c r="BN2" s="268"/>
      <c r="BO2" s="266" t="s">
        <v>159</v>
      </c>
      <c r="BP2" s="267"/>
      <c r="BQ2" s="267"/>
      <c r="BR2" s="267"/>
      <c r="BS2" s="267"/>
      <c r="BT2" s="269"/>
      <c r="BU2" s="265" t="s">
        <v>160</v>
      </c>
      <c r="BV2" s="266" t="s">
        <v>158</v>
      </c>
      <c r="BW2" s="267"/>
      <c r="BX2" s="267"/>
      <c r="BY2" s="267"/>
      <c r="BZ2" s="267"/>
      <c r="CA2" s="268"/>
      <c r="CB2" s="266" t="s">
        <v>159</v>
      </c>
      <c r="CC2" s="267"/>
      <c r="CD2" s="267"/>
      <c r="CE2" s="267"/>
      <c r="CF2" s="267"/>
      <c r="CG2" s="269"/>
      <c r="CH2" s="265" t="s">
        <v>160</v>
      </c>
      <c r="CI2" s="266" t="s">
        <v>158</v>
      </c>
      <c r="CJ2" s="267"/>
      <c r="CK2" s="267"/>
      <c r="CL2" s="267"/>
      <c r="CM2" s="267"/>
      <c r="CN2" s="268"/>
      <c r="CO2" s="266" t="s">
        <v>159</v>
      </c>
      <c r="CP2" s="267"/>
      <c r="CQ2" s="267"/>
      <c r="CR2" s="267"/>
      <c r="CS2" s="267"/>
      <c r="CT2" s="269"/>
      <c r="CU2" s="265" t="s">
        <v>160</v>
      </c>
      <c r="CV2" s="267" t="s">
        <v>158</v>
      </c>
      <c r="CW2" s="267"/>
      <c r="CX2" s="267"/>
      <c r="CY2" s="267"/>
      <c r="CZ2" s="267"/>
      <c r="DA2" s="267"/>
      <c r="DB2" s="269"/>
      <c r="DC2" s="270" t="s">
        <v>159</v>
      </c>
      <c r="DD2" s="267"/>
      <c r="DE2" s="267"/>
      <c r="DF2" s="267"/>
      <c r="DG2" s="267"/>
      <c r="DH2" s="216"/>
      <c r="DI2" s="186"/>
      <c r="DJ2" s="186"/>
      <c r="DK2" s="260"/>
      <c r="DL2" s="271"/>
      <c r="DM2" s="216" t="s">
        <v>161</v>
      </c>
      <c r="DN2" s="186" t="s">
        <v>162</v>
      </c>
      <c r="DO2" s="192" t="s">
        <v>163</v>
      </c>
      <c r="DP2" s="192"/>
      <c r="DQ2" s="192"/>
      <c r="DR2" s="192"/>
      <c r="DS2" s="192"/>
      <c r="DT2" s="192"/>
      <c r="DU2" s="192"/>
      <c r="DV2" s="192"/>
      <c r="DW2" s="192"/>
      <c r="DX2" s="192" t="s">
        <v>164</v>
      </c>
      <c r="DY2" s="192"/>
      <c r="DZ2" s="192"/>
      <c r="EA2" s="192"/>
      <c r="EB2" s="255"/>
      <c r="EC2" s="218"/>
    </row>
    <row r="3" spans="1:133" s="25" customFormat="1" ht="41.15" customHeight="1" thickBot="1">
      <c r="A3" s="258"/>
      <c r="B3" s="248"/>
      <c r="C3" s="194"/>
      <c r="D3" s="187"/>
      <c r="E3" s="261"/>
      <c r="F3" s="194"/>
      <c r="G3" s="261"/>
      <c r="H3" s="26" t="s">
        <v>88</v>
      </c>
      <c r="I3" s="28" t="s">
        <v>129</v>
      </c>
      <c r="J3" s="28" t="s">
        <v>90</v>
      </c>
      <c r="K3" s="28" t="s">
        <v>91</v>
      </c>
      <c r="L3" s="28" t="s">
        <v>92</v>
      </c>
      <c r="M3" s="28" t="s">
        <v>93</v>
      </c>
      <c r="N3" s="28" t="s">
        <v>94</v>
      </c>
      <c r="O3" s="28" t="s">
        <v>95</v>
      </c>
      <c r="P3" s="28" t="s">
        <v>96</v>
      </c>
      <c r="Q3" s="26" t="s">
        <v>88</v>
      </c>
      <c r="R3" s="28" t="s">
        <v>129</v>
      </c>
      <c r="S3" s="28" t="s">
        <v>90</v>
      </c>
      <c r="T3" s="28" t="s">
        <v>91</v>
      </c>
      <c r="U3" s="28" t="s">
        <v>92</v>
      </c>
      <c r="V3" s="28" t="s">
        <v>93</v>
      </c>
      <c r="W3" s="28" t="s">
        <v>94</v>
      </c>
      <c r="X3" s="28" t="s">
        <v>95</v>
      </c>
      <c r="Y3" s="28" t="s">
        <v>96</v>
      </c>
      <c r="Z3" s="28" t="s">
        <v>97</v>
      </c>
      <c r="AA3" s="261"/>
      <c r="AB3" s="26" t="s">
        <v>98</v>
      </c>
      <c r="AC3" s="28" t="s">
        <v>99</v>
      </c>
      <c r="AD3" s="28" t="s">
        <v>100</v>
      </c>
      <c r="AE3" s="28" t="s">
        <v>101</v>
      </c>
      <c r="AF3" s="28" t="s">
        <v>102</v>
      </c>
      <c r="AG3" s="27" t="s">
        <v>103</v>
      </c>
      <c r="AH3" s="235"/>
      <c r="AI3" s="26" t="s">
        <v>83</v>
      </c>
      <c r="AJ3" s="28" t="s">
        <v>84</v>
      </c>
      <c r="AK3" s="28" t="s">
        <v>87</v>
      </c>
      <c r="AL3" s="28" t="s">
        <v>85</v>
      </c>
      <c r="AM3" s="28" t="s">
        <v>86</v>
      </c>
      <c r="AN3" s="27" t="s">
        <v>165</v>
      </c>
      <c r="AO3" s="26" t="s">
        <v>83</v>
      </c>
      <c r="AP3" s="28" t="s">
        <v>166</v>
      </c>
      <c r="AQ3" s="28" t="s">
        <v>87</v>
      </c>
      <c r="AR3" s="28" t="s">
        <v>85</v>
      </c>
      <c r="AS3" s="28" t="s">
        <v>86</v>
      </c>
      <c r="AT3" s="27" t="s">
        <v>165</v>
      </c>
      <c r="AU3" s="248"/>
      <c r="AV3" s="26" t="s">
        <v>83</v>
      </c>
      <c r="AW3" s="28" t="s">
        <v>84</v>
      </c>
      <c r="AX3" s="28" t="s">
        <v>87</v>
      </c>
      <c r="AY3" s="28" t="s">
        <v>85</v>
      </c>
      <c r="AZ3" s="28" t="s">
        <v>86</v>
      </c>
      <c r="BA3" s="27" t="s">
        <v>165</v>
      </c>
      <c r="BB3" s="26" t="s">
        <v>83</v>
      </c>
      <c r="BC3" s="28" t="s">
        <v>84</v>
      </c>
      <c r="BD3" s="28" t="s">
        <v>87</v>
      </c>
      <c r="BE3" s="28" t="s">
        <v>85</v>
      </c>
      <c r="BF3" s="28" t="s">
        <v>86</v>
      </c>
      <c r="BG3" s="28" t="s">
        <v>165</v>
      </c>
      <c r="BH3" s="248"/>
      <c r="BI3" s="26" t="s">
        <v>83</v>
      </c>
      <c r="BJ3" s="28" t="s">
        <v>84</v>
      </c>
      <c r="BK3" s="28" t="s">
        <v>87</v>
      </c>
      <c r="BL3" s="28" t="s">
        <v>85</v>
      </c>
      <c r="BM3" s="28" t="s">
        <v>86</v>
      </c>
      <c r="BN3" s="27" t="s">
        <v>165</v>
      </c>
      <c r="BO3" s="26" t="s">
        <v>83</v>
      </c>
      <c r="BP3" s="28" t="s">
        <v>84</v>
      </c>
      <c r="BQ3" s="28" t="s">
        <v>87</v>
      </c>
      <c r="BR3" s="28" t="s">
        <v>85</v>
      </c>
      <c r="BS3" s="28" t="s">
        <v>86</v>
      </c>
      <c r="BT3" s="28" t="s">
        <v>165</v>
      </c>
      <c r="BU3" s="248"/>
      <c r="BV3" s="26" t="s">
        <v>83</v>
      </c>
      <c r="BW3" s="28" t="s">
        <v>84</v>
      </c>
      <c r="BX3" s="28" t="s">
        <v>87</v>
      </c>
      <c r="BY3" s="28" t="s">
        <v>85</v>
      </c>
      <c r="BZ3" s="28" t="s">
        <v>86</v>
      </c>
      <c r="CA3" s="27" t="s">
        <v>165</v>
      </c>
      <c r="CB3" s="26" t="s">
        <v>83</v>
      </c>
      <c r="CC3" s="28" t="s">
        <v>84</v>
      </c>
      <c r="CD3" s="28" t="s">
        <v>87</v>
      </c>
      <c r="CE3" s="28" t="s">
        <v>85</v>
      </c>
      <c r="CF3" s="28" t="s">
        <v>86</v>
      </c>
      <c r="CG3" s="28" t="s">
        <v>165</v>
      </c>
      <c r="CH3" s="248"/>
      <c r="CI3" s="26" t="s">
        <v>83</v>
      </c>
      <c r="CJ3" s="28" t="s">
        <v>84</v>
      </c>
      <c r="CK3" s="28" t="s">
        <v>87</v>
      </c>
      <c r="CL3" s="28" t="s">
        <v>85</v>
      </c>
      <c r="CM3" s="28" t="s">
        <v>86</v>
      </c>
      <c r="CN3" s="27" t="s">
        <v>165</v>
      </c>
      <c r="CO3" s="26" t="s">
        <v>83</v>
      </c>
      <c r="CP3" s="28" t="s">
        <v>84</v>
      </c>
      <c r="CQ3" s="28" t="s">
        <v>87</v>
      </c>
      <c r="CR3" s="28" t="s">
        <v>85</v>
      </c>
      <c r="CS3" s="28" t="s">
        <v>86</v>
      </c>
      <c r="CT3" s="28" t="s">
        <v>165</v>
      </c>
      <c r="CU3" s="248"/>
      <c r="CV3" s="26" t="s">
        <v>83</v>
      </c>
      <c r="CW3" s="28" t="s">
        <v>84</v>
      </c>
      <c r="CX3" s="28" t="s">
        <v>87</v>
      </c>
      <c r="CY3" s="28" t="s">
        <v>85</v>
      </c>
      <c r="CZ3" s="28" t="s">
        <v>86</v>
      </c>
      <c r="DA3" s="27" t="s">
        <v>165</v>
      </c>
      <c r="DB3" s="26" t="s">
        <v>83</v>
      </c>
      <c r="DC3" s="28" t="s">
        <v>84</v>
      </c>
      <c r="DD3" s="28" t="s">
        <v>87</v>
      </c>
      <c r="DE3" s="28" t="s">
        <v>85</v>
      </c>
      <c r="DF3" s="28" t="s">
        <v>86</v>
      </c>
      <c r="DG3" s="28" t="s">
        <v>165</v>
      </c>
      <c r="DH3" s="26" t="s">
        <v>167</v>
      </c>
      <c r="DI3" s="28" t="s">
        <v>168</v>
      </c>
      <c r="DJ3" s="28" t="s">
        <v>169</v>
      </c>
      <c r="DK3" s="32" t="s">
        <v>170</v>
      </c>
      <c r="DL3" s="272"/>
      <c r="DM3" s="194"/>
      <c r="DN3" s="187"/>
      <c r="DO3" s="28" t="s">
        <v>88</v>
      </c>
      <c r="DP3" s="28" t="s">
        <v>469</v>
      </c>
      <c r="DQ3" s="28" t="s">
        <v>90</v>
      </c>
      <c r="DR3" s="28" t="s">
        <v>91</v>
      </c>
      <c r="DS3" s="28" t="s">
        <v>92</v>
      </c>
      <c r="DT3" s="28" t="s">
        <v>93</v>
      </c>
      <c r="DU3" s="28" t="s">
        <v>94</v>
      </c>
      <c r="DV3" s="28" t="s">
        <v>95</v>
      </c>
      <c r="DW3" s="28" t="s">
        <v>96</v>
      </c>
      <c r="DX3" s="38" t="s">
        <v>83</v>
      </c>
      <c r="DY3" s="38" t="s">
        <v>84</v>
      </c>
      <c r="DZ3" s="28" t="s">
        <v>87</v>
      </c>
      <c r="EA3" s="28" t="s">
        <v>85</v>
      </c>
      <c r="EB3" s="28" t="s">
        <v>86</v>
      </c>
      <c r="EC3" s="219"/>
    </row>
  </sheetData>
  <mergeCells count="44">
    <mergeCell ref="AB1:AG2"/>
    <mergeCell ref="AI2:AN2"/>
    <mergeCell ref="AO2:AT2"/>
    <mergeCell ref="AV2:BA2"/>
    <mergeCell ref="BB2:BG2"/>
    <mergeCell ref="AH1:AH3"/>
    <mergeCell ref="CV1:DG1"/>
    <mergeCell ref="CV2:DB2"/>
    <mergeCell ref="DC2:DG2"/>
    <mergeCell ref="DH1:DK2"/>
    <mergeCell ref="DL1:DL3"/>
    <mergeCell ref="BV1:CH1"/>
    <mergeCell ref="CH2:CH3"/>
    <mergeCell ref="CI1:CU1"/>
    <mergeCell ref="CU2:CU3"/>
    <mergeCell ref="CI2:CN2"/>
    <mergeCell ref="CO2:CT2"/>
    <mergeCell ref="BV2:CA2"/>
    <mergeCell ref="CB2:CG2"/>
    <mergeCell ref="BI1:BU1"/>
    <mergeCell ref="BU2:BU3"/>
    <mergeCell ref="AI1:AU1"/>
    <mergeCell ref="AU2:AU3"/>
    <mergeCell ref="AV1:BH1"/>
    <mergeCell ref="BH2:BH3"/>
    <mergeCell ref="BI2:BN2"/>
    <mergeCell ref="BO2:BT2"/>
    <mergeCell ref="G1:G3"/>
    <mergeCell ref="H1:Z1"/>
    <mergeCell ref="H2:P2"/>
    <mergeCell ref="Q2:Z2"/>
    <mergeCell ref="AA1:AA3"/>
    <mergeCell ref="F1:F3"/>
    <mergeCell ref="A1:A3"/>
    <mergeCell ref="B1:B3"/>
    <mergeCell ref="C1:C3"/>
    <mergeCell ref="D1:D3"/>
    <mergeCell ref="E1:E3"/>
    <mergeCell ref="EC1:EC3"/>
    <mergeCell ref="DM1:EB1"/>
    <mergeCell ref="DM2:DM3"/>
    <mergeCell ref="DO2:DW2"/>
    <mergeCell ref="DX2:EB2"/>
    <mergeCell ref="DN2:DN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300-000000000000}">
          <x14:formula1>
            <xm:f>'Ref.'!$H$4:$H$5</xm:f>
          </x14:formula1>
          <xm:sqref>C4:D200 DK5:DK200 DH4:DJ200</xm:sqref>
        </x14:dataValidation>
        <x14:dataValidation type="list" allowBlank="1" showInputMessage="1" showErrorMessage="1" xr:uid="{00000000-0002-0000-0300-000001000000}">
          <x14:formula1>
            <xm:f>'Ref.'!$Y$2:$Y$3</xm:f>
          </x14:formula1>
          <xm:sqref>Z4:Z200</xm:sqref>
        </x14:dataValidation>
        <x14:dataValidation type="list" allowBlank="1" showInputMessage="1" showErrorMessage="1" xr:uid="{00000000-0002-0000-0300-000002000000}">
          <x14:formula1>
            <xm:f>'Ref.'!$X$2:$X$3</xm:f>
          </x14:formula1>
          <xm:sqref>Y4:Y200</xm:sqref>
        </x14:dataValidation>
        <x14:dataValidation type="list" allowBlank="1" showInputMessage="1" showErrorMessage="1" xr:uid="{00000000-0002-0000-0300-000003000000}">
          <x14:formula1>
            <xm:f>'Ref.'!$W$2:$W$3</xm:f>
          </x14:formula1>
          <xm:sqref>X4:X200</xm:sqref>
        </x14:dataValidation>
        <x14:dataValidation type="list" allowBlank="1" showInputMessage="1" showErrorMessage="1" xr:uid="{00000000-0002-0000-0300-000004000000}">
          <x14:formula1>
            <xm:f>'Ref.'!$V$2:$V$3</xm:f>
          </x14:formula1>
          <xm:sqref>W4:W200</xm:sqref>
        </x14:dataValidation>
        <x14:dataValidation type="list" allowBlank="1" showInputMessage="1" showErrorMessage="1" xr:uid="{00000000-0002-0000-0300-000005000000}">
          <x14:formula1>
            <xm:f>'Ref.'!$U$2:$U$3</xm:f>
          </x14:formula1>
          <xm:sqref>V4:V200</xm:sqref>
        </x14:dataValidation>
        <x14:dataValidation type="list" allowBlank="1" showInputMessage="1" showErrorMessage="1" xr:uid="{00000000-0002-0000-0300-000006000000}">
          <x14:formula1>
            <xm:f>'Ref.'!$S$2:$S$3</xm:f>
          </x14:formula1>
          <xm:sqref>T4:T200</xm:sqref>
        </x14:dataValidation>
        <x14:dataValidation type="list" allowBlank="1" showInputMessage="1" showErrorMessage="1" xr:uid="{00000000-0002-0000-0300-000007000000}">
          <x14:formula1>
            <xm:f>'Ref.'!$R$2:$R$3</xm:f>
          </x14:formula1>
          <xm:sqref>S4:S200</xm:sqref>
        </x14:dataValidation>
        <x14:dataValidation type="list" allowBlank="1" showInputMessage="1" showErrorMessage="1" xr:uid="{00000000-0002-0000-0300-000008000000}">
          <x14:formula1>
            <xm:f>'Ref.'!$Q$2:$Q$3</xm:f>
          </x14:formula1>
          <xm:sqref>R4:R200</xm:sqref>
        </x14:dataValidation>
        <x14:dataValidation type="list" allowBlank="1" showInputMessage="1" showErrorMessage="1" xr:uid="{00000000-0002-0000-0300-000009000000}">
          <x14:formula1>
            <xm:f>'Ref.'!$P$4:$P$5</xm:f>
          </x14:formula1>
          <xm:sqref>Q4:Q200</xm:sqref>
        </x14:dataValidation>
        <x14:dataValidation type="list" allowBlank="1" showInputMessage="1" showErrorMessage="1" xr:uid="{00000000-0002-0000-0300-00000A000000}">
          <x14:formula1>
            <xm:f>'Ref.'!$I$4:$I$5</xm:f>
          </x14:formula1>
          <xm:sqref>AB4:AG200</xm:sqref>
        </x14:dataValidation>
        <x14:dataValidation type="list" allowBlank="1" showInputMessage="1" showErrorMessage="1" xr:uid="{00000000-0002-0000-0300-00000C000000}">
          <x14:formula1>
            <xm:f>'Ref.'!$A$32:$A$34</xm:f>
          </x14:formula1>
          <xm:sqref>DN4:DN200</xm:sqref>
        </x14:dataValidation>
        <x14:dataValidation type="list" allowBlank="1" showInputMessage="1" showErrorMessage="1" xr:uid="{00000000-0002-0000-0300-00000D000000}">
          <x14:formula1>
            <xm:f>'Ref.'!$H$2:$H$3</xm:f>
          </x14:formula1>
          <xm:sqref>DM4:DM200 F4:F1048576</xm:sqref>
        </x14:dataValidation>
        <x14:dataValidation type="list" allowBlank="1" showInputMessage="1" showErrorMessage="1" xr:uid="{D0E1FD45-8B03-4275-99D5-A5FFB3DC4433}">
          <x14:formula1>
            <xm:f>'Ref.'!$AG$2:$AG$4</xm:f>
          </x14:formula1>
          <xm:sqref>AH4:AH1048576</xm:sqref>
        </x14:dataValidation>
        <x14:dataValidation type="list" allowBlank="1" showInputMessage="1" showErrorMessage="1" xr:uid="{00000000-0002-0000-0300-00000B000000}">
          <x14:formula1>
            <xm:f>'Ref.'!$A$66:$A$134</xm:f>
          </x14:formula1>
          <xm:sqref>A4:A200</xm:sqref>
        </x14:dataValidation>
        <x14:dataValidation type="list" allowBlank="1" showInputMessage="1" showErrorMessage="1" xr:uid="{1C2DED1F-F82E-40D7-9A2F-EE421D4995DF}">
          <x14:formula1>
            <xm:f>'Ref.'!$AB$2:$AB$3</xm:f>
          </x14:formula1>
          <xm:sqref>H4:P1048576 DO4:DW1048576</xm:sqref>
        </x14:dataValidation>
        <x14:dataValidation type="list" allowBlank="1" showInputMessage="1" showErrorMessage="1" xr:uid="{C2102A5E-E356-47F4-93EC-C2AF02AD0B9A}">
          <x14:formula1>
            <xm:f>'Ref.'!$T$2:$T$3</xm:f>
          </x14:formula1>
          <xm:sqref>U8 U4:U1048576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BX156"/>
  <sheetViews>
    <sheetView zoomScale="96" workbookViewId="0">
      <pane ySplit="4" topLeftCell="A5" activePane="bottomLeft" state="frozen"/>
      <selection pane="bottomLeft" activeCell="BS22" sqref="BS22"/>
    </sheetView>
  </sheetViews>
  <sheetFormatPr defaultColWidth="21.453125" defaultRowHeight="14.5"/>
  <cols>
    <col min="1" max="1" width="21.453125" style="22"/>
    <col min="2" max="2" width="21.453125" style="23"/>
    <col min="3" max="3" width="21.453125" style="22"/>
    <col min="4" max="21" width="21.453125" style="14"/>
    <col min="22" max="22" width="21.453125" style="22"/>
    <col min="23" max="40" width="21.453125" style="14"/>
    <col min="41" max="41" width="21.453125" style="22"/>
    <col min="42" max="47" width="21.453125" style="14"/>
    <col min="48" max="48" width="21.453125" style="22"/>
    <col min="49" max="55" width="21.453125" style="14"/>
    <col min="56" max="56" width="21.453125" style="22"/>
    <col min="57" max="57" width="21.453125" style="14"/>
    <col min="58" max="58" width="21.453125" style="23"/>
    <col min="59" max="59" width="21.453125" style="22"/>
    <col min="60" max="67" width="21.453125" style="14"/>
    <col min="68" max="68" width="21.453125" style="23"/>
    <col min="69" max="69" width="21.453125" style="22"/>
    <col min="70" max="73" width="21.453125" style="14"/>
    <col min="74" max="74" width="21.453125" style="23"/>
    <col min="75" max="75" width="73.90625" style="24" customWidth="1"/>
    <col min="76" max="16384" width="21.453125" style="14"/>
  </cols>
  <sheetData>
    <row r="1" spans="1:76" ht="21.9" customHeight="1" thickBot="1">
      <c r="A1" s="275" t="s">
        <v>49</v>
      </c>
      <c r="B1" s="279" t="s">
        <v>171</v>
      </c>
      <c r="C1" s="283" t="s">
        <v>172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305" t="s">
        <v>173</v>
      </c>
      <c r="AP1" s="306"/>
      <c r="AQ1" s="306"/>
      <c r="AR1" s="306"/>
      <c r="AS1" s="306"/>
      <c r="AT1" s="306"/>
      <c r="AU1" s="307"/>
      <c r="AV1" s="322" t="s">
        <v>174</v>
      </c>
      <c r="AW1" s="181"/>
      <c r="AX1" s="181"/>
      <c r="AY1" s="181"/>
      <c r="AZ1" s="181"/>
      <c r="BA1" s="181"/>
      <c r="BB1" s="181"/>
      <c r="BC1" s="323"/>
      <c r="BD1" s="292" t="s">
        <v>175</v>
      </c>
      <c r="BE1" s="293"/>
      <c r="BF1" s="294"/>
      <c r="BG1" s="283" t="s">
        <v>471</v>
      </c>
      <c r="BH1" s="284"/>
      <c r="BI1" s="284"/>
      <c r="BJ1" s="284"/>
      <c r="BK1" s="284"/>
      <c r="BL1" s="284"/>
      <c r="BM1" s="284"/>
      <c r="BN1" s="284"/>
      <c r="BO1" s="284"/>
      <c r="BP1" s="285"/>
      <c r="BQ1" s="188" t="s">
        <v>471</v>
      </c>
      <c r="BR1" s="189"/>
      <c r="BS1" s="189"/>
      <c r="BT1" s="189"/>
      <c r="BU1" s="189"/>
      <c r="BV1" s="189"/>
      <c r="BW1" s="273" t="s">
        <v>176</v>
      </c>
      <c r="BX1" s="25"/>
    </row>
    <row r="2" spans="1:76" ht="25.5" customHeight="1">
      <c r="A2" s="276"/>
      <c r="B2" s="280"/>
      <c r="C2" s="320" t="s">
        <v>177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3"/>
      <c r="U2" s="321"/>
      <c r="V2" s="301" t="s">
        <v>178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3"/>
      <c r="AN2" s="303"/>
      <c r="AO2" s="316" t="s">
        <v>179</v>
      </c>
      <c r="AP2" s="317"/>
      <c r="AQ2" s="317"/>
      <c r="AR2" s="317"/>
      <c r="AS2" s="317"/>
      <c r="AT2" s="317"/>
      <c r="AU2" s="318"/>
      <c r="AV2" s="176" t="s">
        <v>180</v>
      </c>
      <c r="AW2" s="324"/>
      <c r="AX2" s="324"/>
      <c r="AY2" s="324"/>
      <c r="AZ2" s="324"/>
      <c r="BA2" s="324"/>
      <c r="BB2" s="179" t="s">
        <v>181</v>
      </c>
      <c r="BC2" s="325" t="s">
        <v>182</v>
      </c>
      <c r="BD2" s="295"/>
      <c r="BE2" s="296"/>
      <c r="BF2" s="297"/>
      <c r="BG2" s="286"/>
      <c r="BH2" s="287"/>
      <c r="BI2" s="287"/>
      <c r="BJ2" s="287"/>
      <c r="BK2" s="287"/>
      <c r="BL2" s="287"/>
      <c r="BM2" s="287"/>
      <c r="BN2" s="287"/>
      <c r="BO2" s="287"/>
      <c r="BP2" s="288"/>
      <c r="BQ2" s="312"/>
      <c r="BR2" s="313"/>
      <c r="BS2" s="313"/>
      <c r="BT2" s="313"/>
      <c r="BU2" s="313"/>
      <c r="BV2" s="313"/>
      <c r="BW2" s="183"/>
      <c r="BX2" s="25"/>
    </row>
    <row r="3" spans="1:76" ht="50.25" customHeight="1" thickBot="1">
      <c r="A3" s="277"/>
      <c r="B3" s="281"/>
      <c r="C3" s="277" t="s">
        <v>183</v>
      </c>
      <c r="D3" s="319"/>
      <c r="E3" s="319"/>
      <c r="F3" s="319"/>
      <c r="G3" s="319"/>
      <c r="H3" s="319"/>
      <c r="I3" s="192" t="s">
        <v>184</v>
      </c>
      <c r="J3" s="192"/>
      <c r="K3" s="192"/>
      <c r="L3" s="192"/>
      <c r="M3" s="192"/>
      <c r="N3" s="192"/>
      <c r="O3" s="192" t="s">
        <v>185</v>
      </c>
      <c r="P3" s="192"/>
      <c r="Q3" s="192"/>
      <c r="R3" s="192"/>
      <c r="S3" s="192"/>
      <c r="T3" s="192"/>
      <c r="U3" s="255" t="s">
        <v>186</v>
      </c>
      <c r="V3" s="191" t="s">
        <v>183</v>
      </c>
      <c r="W3" s="192"/>
      <c r="X3" s="192"/>
      <c r="Y3" s="192"/>
      <c r="Z3" s="192"/>
      <c r="AA3" s="192"/>
      <c r="AB3" s="192" t="s">
        <v>184</v>
      </c>
      <c r="AC3" s="192"/>
      <c r="AD3" s="192"/>
      <c r="AE3" s="192"/>
      <c r="AF3" s="192"/>
      <c r="AG3" s="192"/>
      <c r="AH3" s="192" t="s">
        <v>185</v>
      </c>
      <c r="AI3" s="192"/>
      <c r="AJ3" s="192"/>
      <c r="AK3" s="192"/>
      <c r="AL3" s="192"/>
      <c r="AM3" s="192"/>
      <c r="AN3" s="281" t="s">
        <v>120</v>
      </c>
      <c r="AO3" s="310" t="s">
        <v>187</v>
      </c>
      <c r="AP3" s="309"/>
      <c r="AQ3" s="309"/>
      <c r="AR3" s="309"/>
      <c r="AS3" s="309"/>
      <c r="AT3" s="311"/>
      <c r="AU3" s="308" t="s">
        <v>186</v>
      </c>
      <c r="AV3" s="327" t="s">
        <v>83</v>
      </c>
      <c r="AW3" s="329" t="s">
        <v>84</v>
      </c>
      <c r="AX3" s="329" t="s">
        <v>87</v>
      </c>
      <c r="AY3" s="329" t="s">
        <v>85</v>
      </c>
      <c r="AZ3" s="329" t="s">
        <v>86</v>
      </c>
      <c r="BA3" s="329" t="s">
        <v>165</v>
      </c>
      <c r="BB3" s="180"/>
      <c r="BC3" s="326"/>
      <c r="BD3" s="298"/>
      <c r="BE3" s="299"/>
      <c r="BF3" s="300"/>
      <c r="BG3" s="289"/>
      <c r="BH3" s="290"/>
      <c r="BI3" s="290"/>
      <c r="BJ3" s="290"/>
      <c r="BK3" s="290"/>
      <c r="BL3" s="290"/>
      <c r="BM3" s="290"/>
      <c r="BN3" s="290"/>
      <c r="BO3" s="290"/>
      <c r="BP3" s="291"/>
      <c r="BQ3" s="314"/>
      <c r="BR3" s="315"/>
      <c r="BS3" s="315"/>
      <c r="BT3" s="315"/>
      <c r="BU3" s="315"/>
      <c r="BV3" s="315"/>
      <c r="BW3" s="183"/>
      <c r="BX3" s="25"/>
    </row>
    <row r="4" spans="1:76" ht="75.75" customHeight="1" thickBot="1">
      <c r="A4" s="278"/>
      <c r="B4" s="282"/>
      <c r="C4" s="39" t="s">
        <v>83</v>
      </c>
      <c r="D4" s="40" t="s">
        <v>84</v>
      </c>
      <c r="E4" s="28" t="s">
        <v>87</v>
      </c>
      <c r="F4" s="28" t="s">
        <v>85</v>
      </c>
      <c r="G4" s="28" t="s">
        <v>86</v>
      </c>
      <c r="H4" s="28" t="s">
        <v>165</v>
      </c>
      <c r="I4" s="26" t="s">
        <v>83</v>
      </c>
      <c r="J4" s="28" t="s">
        <v>84</v>
      </c>
      <c r="K4" s="28" t="s">
        <v>87</v>
      </c>
      <c r="L4" s="28" t="s">
        <v>85</v>
      </c>
      <c r="M4" s="28" t="s">
        <v>86</v>
      </c>
      <c r="N4" s="28" t="s">
        <v>165</v>
      </c>
      <c r="O4" s="26" t="s">
        <v>83</v>
      </c>
      <c r="P4" s="28" t="s">
        <v>84</v>
      </c>
      <c r="Q4" s="28" t="s">
        <v>87</v>
      </c>
      <c r="R4" s="28" t="s">
        <v>85</v>
      </c>
      <c r="S4" s="28" t="s">
        <v>86</v>
      </c>
      <c r="T4" s="28" t="s">
        <v>165</v>
      </c>
      <c r="U4" s="304"/>
      <c r="V4" s="26" t="s">
        <v>83</v>
      </c>
      <c r="W4" s="28" t="s">
        <v>84</v>
      </c>
      <c r="X4" s="28" t="s">
        <v>87</v>
      </c>
      <c r="Y4" s="28" t="s">
        <v>85</v>
      </c>
      <c r="Z4" s="28" t="s">
        <v>86</v>
      </c>
      <c r="AA4" s="32" t="s">
        <v>165</v>
      </c>
      <c r="AB4" s="26" t="s">
        <v>83</v>
      </c>
      <c r="AC4" s="28" t="s">
        <v>84</v>
      </c>
      <c r="AD4" s="28" t="s">
        <v>87</v>
      </c>
      <c r="AE4" s="28" t="s">
        <v>85</v>
      </c>
      <c r="AF4" s="28" t="s">
        <v>86</v>
      </c>
      <c r="AG4" s="28" t="s">
        <v>165</v>
      </c>
      <c r="AH4" s="26" t="s">
        <v>83</v>
      </c>
      <c r="AI4" s="28" t="s">
        <v>84</v>
      </c>
      <c r="AJ4" s="28" t="s">
        <v>87</v>
      </c>
      <c r="AK4" s="28" t="s">
        <v>85</v>
      </c>
      <c r="AL4" s="28" t="s">
        <v>86</v>
      </c>
      <c r="AM4" s="28" t="s">
        <v>165</v>
      </c>
      <c r="AN4" s="282"/>
      <c r="AO4" s="39" t="s">
        <v>83</v>
      </c>
      <c r="AP4" s="40" t="s">
        <v>84</v>
      </c>
      <c r="AQ4" s="40" t="s">
        <v>87</v>
      </c>
      <c r="AR4" s="28" t="s">
        <v>85</v>
      </c>
      <c r="AS4" s="28" t="s">
        <v>86</v>
      </c>
      <c r="AT4" s="28" t="s">
        <v>165</v>
      </c>
      <c r="AU4" s="309"/>
      <c r="AV4" s="328"/>
      <c r="AW4" s="330"/>
      <c r="AX4" s="330"/>
      <c r="AY4" s="330"/>
      <c r="AZ4" s="330"/>
      <c r="BA4" s="330"/>
      <c r="BB4" s="181"/>
      <c r="BC4" s="323"/>
      <c r="BD4" s="42" t="s">
        <v>188</v>
      </c>
      <c r="BE4" s="43" t="s">
        <v>189</v>
      </c>
      <c r="BF4" s="44" t="s">
        <v>190</v>
      </c>
      <c r="BG4" s="39" t="s">
        <v>88</v>
      </c>
      <c r="BH4" s="41" t="s">
        <v>469</v>
      </c>
      <c r="BI4" s="41" t="s">
        <v>91</v>
      </c>
      <c r="BJ4" s="41" t="s">
        <v>90</v>
      </c>
      <c r="BK4" s="41" t="s">
        <v>92</v>
      </c>
      <c r="BL4" s="41" t="s">
        <v>93</v>
      </c>
      <c r="BM4" s="41" t="s">
        <v>94</v>
      </c>
      <c r="BN4" s="41" t="s">
        <v>95</v>
      </c>
      <c r="BO4" s="41" t="s">
        <v>96</v>
      </c>
      <c r="BP4" s="40" t="s">
        <v>97</v>
      </c>
      <c r="BQ4" s="26" t="s">
        <v>98</v>
      </c>
      <c r="BR4" s="28" t="s">
        <v>99</v>
      </c>
      <c r="BS4" s="28" t="s">
        <v>100</v>
      </c>
      <c r="BT4" s="28" t="s">
        <v>101</v>
      </c>
      <c r="BU4" s="28" t="s">
        <v>102</v>
      </c>
      <c r="BV4" s="32" t="s">
        <v>103</v>
      </c>
      <c r="BW4" s="274"/>
      <c r="BX4" s="25"/>
    </row>
    <row r="5" spans="1:76" ht="16">
      <c r="A5" s="45"/>
      <c r="B5" s="46"/>
      <c r="C5" s="4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4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45"/>
      <c r="AP5" s="25"/>
      <c r="AQ5" s="25"/>
      <c r="AR5" s="25"/>
      <c r="AS5" s="25"/>
      <c r="AT5" s="25"/>
      <c r="AU5" s="25"/>
      <c r="BD5" s="47"/>
      <c r="BE5" s="25"/>
      <c r="BF5" s="46"/>
      <c r="BG5" s="45"/>
      <c r="BH5" s="25"/>
      <c r="BI5" s="25"/>
      <c r="BJ5" s="25"/>
      <c r="BK5" s="25"/>
      <c r="BL5" s="25"/>
      <c r="BM5" s="25"/>
      <c r="BN5" s="25"/>
      <c r="BO5" s="25"/>
      <c r="BP5" s="25"/>
      <c r="BQ5" s="45"/>
      <c r="BR5" s="25"/>
      <c r="BS5" s="25"/>
      <c r="BT5" s="25"/>
      <c r="BU5" s="25"/>
      <c r="BV5" s="25"/>
      <c r="BW5" s="48"/>
      <c r="BX5" s="25"/>
    </row>
    <row r="6" spans="1:76" ht="16">
      <c r="A6" s="45"/>
      <c r="B6" s="46"/>
      <c r="C6" s="4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4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45"/>
      <c r="AP6" s="25"/>
      <c r="AQ6" s="25"/>
      <c r="AR6" s="25"/>
      <c r="AS6" s="25"/>
      <c r="AT6" s="25"/>
      <c r="AU6" s="25"/>
      <c r="BD6" s="45"/>
      <c r="BE6" s="25"/>
      <c r="BF6" s="46"/>
      <c r="BG6" s="45"/>
      <c r="BH6" s="25"/>
      <c r="BI6" s="25"/>
      <c r="BJ6" s="25"/>
      <c r="BK6" s="25"/>
      <c r="BL6" s="25"/>
      <c r="BM6" s="25"/>
      <c r="BN6" s="25"/>
      <c r="BO6" s="25"/>
      <c r="BP6" s="25"/>
      <c r="BQ6" s="45"/>
      <c r="BR6" s="25"/>
      <c r="BS6" s="25"/>
      <c r="BT6" s="25"/>
      <c r="BU6" s="25"/>
      <c r="BV6" s="25"/>
      <c r="BW6" s="49"/>
      <c r="BX6" s="25"/>
    </row>
    <row r="7" spans="1:76">
      <c r="BP7" s="14"/>
      <c r="BV7" s="14"/>
    </row>
    <row r="8" spans="1:76">
      <c r="BP8" s="14"/>
      <c r="BV8" s="14"/>
    </row>
    <row r="9" spans="1:76">
      <c r="BP9" s="14"/>
      <c r="BV9" s="14"/>
    </row>
    <row r="10" spans="1:76">
      <c r="BP10" s="14"/>
      <c r="BV10" s="14"/>
    </row>
    <row r="11" spans="1:76">
      <c r="BP11" s="14"/>
      <c r="BV11" s="14"/>
    </row>
    <row r="12" spans="1:76">
      <c r="BP12" s="14"/>
      <c r="BV12" s="14"/>
    </row>
    <row r="13" spans="1:76">
      <c r="BP13" s="14"/>
      <c r="BV13" s="14"/>
    </row>
    <row r="14" spans="1:76">
      <c r="BP14" s="14"/>
      <c r="BV14" s="14"/>
    </row>
    <row r="15" spans="1:76">
      <c r="BP15" s="14"/>
      <c r="BV15" s="14"/>
    </row>
    <row r="16" spans="1:76">
      <c r="BP16" s="14"/>
      <c r="BV16" s="14"/>
    </row>
    <row r="17" spans="68:74">
      <c r="BP17" s="14"/>
      <c r="BV17" s="14"/>
    </row>
    <row r="18" spans="68:74">
      <c r="BP18" s="14"/>
      <c r="BV18" s="14"/>
    </row>
    <row r="19" spans="68:74">
      <c r="BP19" s="14"/>
      <c r="BV19" s="14"/>
    </row>
    <row r="20" spans="68:74">
      <c r="BP20" s="14"/>
      <c r="BV20" s="14"/>
    </row>
    <row r="21" spans="68:74">
      <c r="BP21" s="14"/>
      <c r="BV21" s="14"/>
    </row>
    <row r="22" spans="68:74">
      <c r="BP22" s="14"/>
      <c r="BV22" s="14"/>
    </row>
    <row r="23" spans="68:74">
      <c r="BP23" s="14"/>
      <c r="BV23" s="14"/>
    </row>
    <row r="24" spans="68:74">
      <c r="BP24" s="14"/>
      <c r="BV24" s="14"/>
    </row>
    <row r="25" spans="68:74">
      <c r="BP25" s="14"/>
      <c r="BV25" s="14"/>
    </row>
    <row r="26" spans="68:74">
      <c r="BP26" s="14"/>
      <c r="BV26" s="14"/>
    </row>
    <row r="27" spans="68:74">
      <c r="BP27" s="14"/>
      <c r="BV27" s="14"/>
    </row>
    <row r="28" spans="68:74">
      <c r="BP28" s="14"/>
      <c r="BV28" s="14"/>
    </row>
    <row r="29" spans="68:74">
      <c r="BP29" s="14"/>
      <c r="BV29" s="14"/>
    </row>
    <row r="30" spans="68:74">
      <c r="BP30" s="14"/>
      <c r="BV30" s="14"/>
    </row>
    <row r="31" spans="68:74">
      <c r="BP31" s="14"/>
      <c r="BV31" s="14"/>
    </row>
    <row r="32" spans="68:74">
      <c r="BP32" s="14"/>
      <c r="BV32" s="14"/>
    </row>
    <row r="33" spans="68:74">
      <c r="BP33" s="14"/>
      <c r="BV33" s="14"/>
    </row>
    <row r="34" spans="68:74">
      <c r="BP34" s="14"/>
      <c r="BV34" s="14"/>
    </row>
    <row r="35" spans="68:74">
      <c r="BP35" s="14"/>
      <c r="BV35" s="14"/>
    </row>
    <row r="36" spans="68:74">
      <c r="BP36" s="14"/>
      <c r="BV36" s="14"/>
    </row>
    <row r="37" spans="68:74">
      <c r="BP37" s="14"/>
      <c r="BV37" s="14"/>
    </row>
    <row r="38" spans="68:74">
      <c r="BP38" s="14"/>
      <c r="BV38" s="14"/>
    </row>
    <row r="39" spans="68:74">
      <c r="BP39" s="14"/>
      <c r="BV39" s="14"/>
    </row>
    <row r="40" spans="68:74">
      <c r="BP40" s="14"/>
      <c r="BV40" s="14"/>
    </row>
    <row r="41" spans="68:74">
      <c r="BP41" s="14"/>
      <c r="BV41" s="14"/>
    </row>
    <row r="42" spans="68:74">
      <c r="BP42" s="14"/>
      <c r="BV42" s="14"/>
    </row>
    <row r="43" spans="68:74">
      <c r="BP43" s="14"/>
      <c r="BV43" s="14"/>
    </row>
    <row r="44" spans="68:74">
      <c r="BP44" s="14"/>
      <c r="BV44" s="14"/>
    </row>
    <row r="45" spans="68:74">
      <c r="BP45" s="14"/>
      <c r="BV45" s="14"/>
    </row>
    <row r="46" spans="68:74">
      <c r="BP46" s="14"/>
      <c r="BV46" s="14"/>
    </row>
    <row r="47" spans="68:74">
      <c r="BP47" s="14"/>
      <c r="BV47" s="14"/>
    </row>
    <row r="48" spans="68:74">
      <c r="BP48" s="14"/>
      <c r="BV48" s="14"/>
    </row>
    <row r="49" spans="68:74">
      <c r="BP49" s="14"/>
      <c r="BV49" s="14"/>
    </row>
    <row r="50" spans="68:74">
      <c r="BP50" s="14"/>
      <c r="BV50" s="14"/>
    </row>
    <row r="51" spans="68:74">
      <c r="BP51" s="14"/>
      <c r="BV51" s="14"/>
    </row>
    <row r="52" spans="68:74">
      <c r="BP52" s="14"/>
      <c r="BV52" s="14"/>
    </row>
    <row r="53" spans="68:74">
      <c r="BP53" s="14"/>
      <c r="BV53" s="14"/>
    </row>
    <row r="54" spans="68:74">
      <c r="BP54" s="14"/>
      <c r="BV54" s="14"/>
    </row>
    <row r="55" spans="68:74">
      <c r="BP55" s="14"/>
      <c r="BV55" s="14"/>
    </row>
    <row r="56" spans="68:74">
      <c r="BP56" s="14"/>
      <c r="BV56" s="14"/>
    </row>
    <row r="57" spans="68:74">
      <c r="BP57" s="14"/>
      <c r="BV57" s="14"/>
    </row>
    <row r="58" spans="68:74">
      <c r="BP58" s="14"/>
      <c r="BV58" s="14"/>
    </row>
    <row r="59" spans="68:74">
      <c r="BP59" s="14"/>
      <c r="BV59" s="14"/>
    </row>
    <row r="60" spans="68:74">
      <c r="BP60" s="14"/>
      <c r="BV60" s="14"/>
    </row>
    <row r="61" spans="68:74">
      <c r="BP61" s="14"/>
      <c r="BV61" s="14"/>
    </row>
    <row r="62" spans="68:74">
      <c r="BP62" s="14"/>
      <c r="BV62" s="14"/>
    </row>
    <row r="63" spans="68:74">
      <c r="BP63" s="14"/>
      <c r="BV63" s="14"/>
    </row>
    <row r="64" spans="68:74">
      <c r="BP64" s="14"/>
      <c r="BV64" s="14"/>
    </row>
    <row r="65" spans="68:74">
      <c r="BP65" s="14"/>
      <c r="BV65" s="14"/>
    </row>
    <row r="66" spans="68:74">
      <c r="BP66" s="14"/>
      <c r="BV66" s="14"/>
    </row>
    <row r="67" spans="68:74">
      <c r="BP67" s="14"/>
      <c r="BV67" s="14"/>
    </row>
    <row r="68" spans="68:74">
      <c r="BP68" s="14"/>
      <c r="BV68" s="14"/>
    </row>
    <row r="69" spans="68:74">
      <c r="BP69" s="14"/>
      <c r="BV69" s="14"/>
    </row>
    <row r="70" spans="68:74">
      <c r="BP70" s="14"/>
      <c r="BV70" s="14"/>
    </row>
    <row r="71" spans="68:74">
      <c r="BP71" s="14"/>
      <c r="BV71" s="14"/>
    </row>
    <row r="72" spans="68:74">
      <c r="BP72" s="14"/>
      <c r="BV72" s="14"/>
    </row>
    <row r="73" spans="68:74">
      <c r="BP73" s="14"/>
      <c r="BV73" s="14"/>
    </row>
    <row r="74" spans="68:74">
      <c r="BP74" s="14"/>
      <c r="BV74" s="14"/>
    </row>
    <row r="75" spans="68:74">
      <c r="BP75" s="14"/>
      <c r="BV75" s="14"/>
    </row>
    <row r="76" spans="68:74">
      <c r="BP76" s="14"/>
      <c r="BV76" s="14"/>
    </row>
    <row r="77" spans="68:74">
      <c r="BP77" s="14"/>
      <c r="BV77" s="14"/>
    </row>
    <row r="78" spans="68:74">
      <c r="BP78" s="14"/>
      <c r="BV78" s="14"/>
    </row>
    <row r="79" spans="68:74">
      <c r="BP79" s="14"/>
      <c r="BV79" s="14"/>
    </row>
    <row r="80" spans="68:74">
      <c r="BP80" s="14"/>
      <c r="BV80" s="14"/>
    </row>
    <row r="81" spans="68:74">
      <c r="BP81" s="14"/>
      <c r="BV81" s="14"/>
    </row>
    <row r="82" spans="68:74">
      <c r="BP82" s="14"/>
      <c r="BV82" s="14"/>
    </row>
    <row r="83" spans="68:74">
      <c r="BP83" s="14"/>
      <c r="BV83" s="14"/>
    </row>
    <row r="84" spans="68:74">
      <c r="BP84" s="14"/>
      <c r="BV84" s="14"/>
    </row>
    <row r="85" spans="68:74">
      <c r="BP85" s="14"/>
      <c r="BV85" s="14"/>
    </row>
    <row r="86" spans="68:74">
      <c r="BP86" s="14"/>
      <c r="BV86" s="14"/>
    </row>
    <row r="87" spans="68:74">
      <c r="BP87" s="14"/>
      <c r="BV87" s="14"/>
    </row>
    <row r="88" spans="68:74">
      <c r="BP88" s="14"/>
      <c r="BV88" s="14"/>
    </row>
    <row r="89" spans="68:74">
      <c r="BP89" s="14"/>
      <c r="BV89" s="14"/>
    </row>
    <row r="90" spans="68:74">
      <c r="BP90" s="14"/>
      <c r="BV90" s="14"/>
    </row>
    <row r="91" spans="68:74">
      <c r="BP91" s="14"/>
      <c r="BV91" s="14"/>
    </row>
    <row r="92" spans="68:74">
      <c r="BP92" s="14"/>
      <c r="BV92" s="14"/>
    </row>
    <row r="93" spans="68:74">
      <c r="BP93" s="14"/>
      <c r="BV93" s="14"/>
    </row>
    <row r="94" spans="68:74">
      <c r="BP94" s="14"/>
      <c r="BV94" s="14"/>
    </row>
    <row r="95" spans="68:74">
      <c r="BP95" s="14"/>
      <c r="BV95" s="14"/>
    </row>
    <row r="96" spans="68:74">
      <c r="BP96" s="14"/>
      <c r="BV96" s="14"/>
    </row>
    <row r="97" spans="68:74">
      <c r="BP97" s="14"/>
      <c r="BV97" s="14"/>
    </row>
    <row r="98" spans="68:74">
      <c r="BP98" s="14"/>
      <c r="BV98" s="14"/>
    </row>
    <row r="99" spans="68:74">
      <c r="BP99" s="14"/>
      <c r="BV99" s="14"/>
    </row>
    <row r="100" spans="68:74">
      <c r="BP100" s="14"/>
      <c r="BV100" s="14"/>
    </row>
    <row r="101" spans="68:74">
      <c r="BP101" s="14"/>
      <c r="BV101" s="14"/>
    </row>
    <row r="102" spans="68:74">
      <c r="BP102" s="14"/>
      <c r="BV102" s="14"/>
    </row>
    <row r="103" spans="68:74">
      <c r="BP103" s="14"/>
      <c r="BV103" s="14"/>
    </row>
    <row r="104" spans="68:74">
      <c r="BP104" s="14"/>
      <c r="BV104" s="14"/>
    </row>
    <row r="105" spans="68:74">
      <c r="BP105" s="14"/>
      <c r="BV105" s="14"/>
    </row>
    <row r="106" spans="68:74">
      <c r="BP106" s="14"/>
      <c r="BV106" s="14"/>
    </row>
    <row r="107" spans="68:74">
      <c r="BP107" s="14"/>
      <c r="BV107" s="14"/>
    </row>
    <row r="108" spans="68:74">
      <c r="BP108" s="14"/>
      <c r="BV108" s="14"/>
    </row>
    <row r="109" spans="68:74">
      <c r="BP109" s="14"/>
      <c r="BV109" s="14"/>
    </row>
    <row r="110" spans="68:74">
      <c r="BP110" s="14"/>
      <c r="BV110" s="14"/>
    </row>
    <row r="111" spans="68:74">
      <c r="BP111" s="14"/>
      <c r="BV111" s="14"/>
    </row>
    <row r="112" spans="68:74">
      <c r="BP112" s="14"/>
      <c r="BV112" s="14"/>
    </row>
    <row r="113" spans="68:74">
      <c r="BP113" s="14"/>
      <c r="BV113" s="14"/>
    </row>
    <row r="114" spans="68:74">
      <c r="BP114" s="14"/>
      <c r="BV114" s="14"/>
    </row>
    <row r="115" spans="68:74">
      <c r="BP115" s="14"/>
      <c r="BV115" s="14"/>
    </row>
    <row r="116" spans="68:74">
      <c r="BP116" s="14"/>
      <c r="BV116" s="14"/>
    </row>
    <row r="117" spans="68:74">
      <c r="BP117" s="14"/>
      <c r="BV117" s="14"/>
    </row>
    <row r="118" spans="68:74">
      <c r="BP118" s="14"/>
      <c r="BV118" s="14"/>
    </row>
    <row r="119" spans="68:74">
      <c r="BP119" s="14"/>
      <c r="BV119" s="14"/>
    </row>
    <row r="120" spans="68:74">
      <c r="BP120" s="14"/>
      <c r="BV120" s="14"/>
    </row>
    <row r="121" spans="68:74">
      <c r="BP121" s="14"/>
      <c r="BV121" s="14"/>
    </row>
    <row r="122" spans="68:74">
      <c r="BP122" s="14"/>
      <c r="BV122" s="14"/>
    </row>
    <row r="123" spans="68:74">
      <c r="BP123" s="14"/>
      <c r="BV123" s="14"/>
    </row>
    <row r="124" spans="68:74">
      <c r="BP124" s="14"/>
      <c r="BV124" s="14"/>
    </row>
    <row r="125" spans="68:74">
      <c r="BP125" s="14"/>
      <c r="BV125" s="14"/>
    </row>
    <row r="126" spans="68:74">
      <c r="BP126" s="14"/>
      <c r="BV126" s="14"/>
    </row>
    <row r="127" spans="68:74">
      <c r="BP127" s="14"/>
      <c r="BV127" s="14"/>
    </row>
    <row r="128" spans="68:74">
      <c r="BP128" s="14"/>
      <c r="BV128" s="14"/>
    </row>
    <row r="129" spans="68:74">
      <c r="BP129" s="14"/>
      <c r="BV129" s="14"/>
    </row>
    <row r="130" spans="68:74">
      <c r="BP130" s="14"/>
      <c r="BV130" s="14"/>
    </row>
    <row r="131" spans="68:74">
      <c r="BP131" s="14"/>
      <c r="BV131" s="14"/>
    </row>
    <row r="132" spans="68:74">
      <c r="BP132" s="14"/>
      <c r="BV132" s="14"/>
    </row>
    <row r="133" spans="68:74">
      <c r="BP133" s="14"/>
      <c r="BV133" s="14"/>
    </row>
    <row r="134" spans="68:74">
      <c r="BP134" s="14"/>
      <c r="BV134" s="14"/>
    </row>
    <row r="135" spans="68:74">
      <c r="BP135" s="14"/>
      <c r="BV135" s="14"/>
    </row>
    <row r="136" spans="68:74">
      <c r="BP136" s="14"/>
      <c r="BV136" s="14"/>
    </row>
    <row r="137" spans="68:74">
      <c r="BP137" s="14"/>
      <c r="BV137" s="14"/>
    </row>
    <row r="138" spans="68:74">
      <c r="BP138" s="14"/>
      <c r="BV138" s="14"/>
    </row>
    <row r="139" spans="68:74">
      <c r="BP139" s="14"/>
      <c r="BV139" s="14"/>
    </row>
    <row r="140" spans="68:74">
      <c r="BP140" s="14"/>
      <c r="BV140" s="14"/>
    </row>
    <row r="141" spans="68:74">
      <c r="BP141" s="14"/>
      <c r="BV141" s="14"/>
    </row>
    <row r="142" spans="68:74">
      <c r="BP142" s="14"/>
      <c r="BV142" s="14"/>
    </row>
    <row r="143" spans="68:74">
      <c r="BP143" s="14"/>
      <c r="BV143" s="14"/>
    </row>
    <row r="144" spans="68:74">
      <c r="BP144" s="14"/>
      <c r="BV144" s="14"/>
    </row>
    <row r="145" spans="68:74">
      <c r="BP145" s="14"/>
      <c r="BV145" s="14"/>
    </row>
    <row r="146" spans="68:74">
      <c r="BP146" s="14"/>
      <c r="BV146" s="14"/>
    </row>
    <row r="147" spans="68:74">
      <c r="BP147" s="14"/>
      <c r="BV147" s="14"/>
    </row>
    <row r="148" spans="68:74">
      <c r="BP148" s="14"/>
      <c r="BV148" s="14"/>
    </row>
    <row r="149" spans="68:74">
      <c r="BP149" s="14"/>
      <c r="BV149" s="14"/>
    </row>
    <row r="150" spans="68:74">
      <c r="BP150" s="14"/>
      <c r="BV150" s="14"/>
    </row>
    <row r="151" spans="68:74">
      <c r="BP151" s="14"/>
      <c r="BV151" s="14"/>
    </row>
    <row r="152" spans="68:74">
      <c r="BP152" s="14"/>
      <c r="BV152" s="14"/>
    </row>
    <row r="153" spans="68:74">
      <c r="BP153" s="14"/>
      <c r="BV153" s="14"/>
    </row>
    <row r="154" spans="68:74">
      <c r="BP154" s="14"/>
      <c r="BV154" s="14"/>
    </row>
    <row r="155" spans="68:74">
      <c r="BP155" s="14"/>
      <c r="BV155" s="14"/>
    </row>
    <row r="156" spans="68:74">
      <c r="BP156" s="14"/>
      <c r="BV156" s="14"/>
    </row>
  </sheetData>
  <dataConsolidate/>
  <mergeCells count="31">
    <mergeCell ref="BQ1:BV3"/>
    <mergeCell ref="AO2:AU2"/>
    <mergeCell ref="C3:H3"/>
    <mergeCell ref="I3:N3"/>
    <mergeCell ref="C2:U2"/>
    <mergeCell ref="AV1:BC1"/>
    <mergeCell ref="AV2:BA2"/>
    <mergeCell ref="BB2:BB4"/>
    <mergeCell ref="BC2:BC4"/>
    <mergeCell ref="AV3:AV4"/>
    <mergeCell ref="AW3:AW4"/>
    <mergeCell ref="AX3:AX4"/>
    <mergeCell ref="AY3:AY4"/>
    <mergeCell ref="AZ3:AZ4"/>
    <mergeCell ref="BA3:BA4"/>
    <mergeCell ref="BW1:BW4"/>
    <mergeCell ref="A1:A4"/>
    <mergeCell ref="B1:B4"/>
    <mergeCell ref="BG1:BP3"/>
    <mergeCell ref="C1:AN1"/>
    <mergeCell ref="BD1:BF3"/>
    <mergeCell ref="V2:AN2"/>
    <mergeCell ref="V3:AA3"/>
    <mergeCell ref="AB3:AG3"/>
    <mergeCell ref="O3:T3"/>
    <mergeCell ref="U3:U4"/>
    <mergeCell ref="AH3:AM3"/>
    <mergeCell ref="AN3:AN4"/>
    <mergeCell ref="AO1:AU1"/>
    <mergeCell ref="AU3:AU4"/>
    <mergeCell ref="AO3:AT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1000000}">
          <x14:formula1>
            <xm:f>'Ref.'!$Q$4:$Q$5</xm:f>
          </x14:formula1>
          <xm:sqref>BG5:BP156</xm:sqref>
        </x14:dataValidation>
        <x14:dataValidation type="list" allowBlank="1" showInputMessage="1" showErrorMessage="1" xr:uid="{00000000-0002-0000-0500-000002000000}">
          <x14:formula1>
            <xm:f>'Ref.'!$R$4:$R$5</xm:f>
          </x14:formula1>
          <xm:sqref>BQ5:BV156</xm:sqref>
        </x14:dataValidation>
        <x14:dataValidation type="list" allowBlank="1" showInputMessage="1" showErrorMessage="1" xr:uid="{00000000-0002-0000-0500-000000000000}">
          <x14:formula1>
            <xm:f>'Ref.'!$A$66:$A$134</xm:f>
          </x14:formula1>
          <xm:sqref>A5:A156</xm:sqref>
        </x14:dataValidation>
        <x14:dataValidation type="list" allowBlank="1" showInputMessage="1" showErrorMessage="1" xr:uid="{681BE516-FC7D-4205-9C84-D3AD92552116}">
          <x14:formula1>
            <xm:f>'Ref.'!$P$2:$P$3</xm:f>
          </x14:formula1>
          <xm:sqref>AO5:AT1048576 AO1:AT2</xm:sqref>
        </x14:dataValidation>
        <x14:dataValidation type="list" allowBlank="1" showInputMessage="1" showErrorMessage="1" xr:uid="{F6093F5E-FEC5-4850-8BD9-74FC52BC0C32}">
          <x14:formula1>
            <xm:f>'Ref.'!$K$2:$K$3</xm:f>
          </x14:formula1>
          <xm:sqref>AV5:BA1048576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N200"/>
  <sheetViews>
    <sheetView workbookViewId="0">
      <pane ySplit="3" topLeftCell="A4" activePane="bottomLeft" state="frozen"/>
      <selection pane="bottomLeft" activeCell="X1" sqref="X1:AG2"/>
    </sheetView>
  </sheetViews>
  <sheetFormatPr defaultColWidth="22.453125" defaultRowHeight="14.5"/>
  <cols>
    <col min="1" max="2" width="22.453125" style="14"/>
    <col min="3" max="3" width="22.453125" style="22"/>
    <col min="4" max="4" width="22.453125" style="23"/>
    <col min="5" max="5" width="22.453125" style="22"/>
    <col min="6" max="6" width="22.453125" style="23"/>
    <col min="7" max="7" width="22.453125" style="22"/>
    <col min="8" max="11" width="22.453125" style="14"/>
    <col min="12" max="12" width="22.453125" style="23"/>
    <col min="13" max="13" width="22.453125" style="22"/>
    <col min="14" max="18" width="22.453125" style="14"/>
    <col min="19" max="19" width="22.453125" style="23"/>
    <col min="20" max="20" width="22.453125" style="22"/>
    <col min="21" max="22" width="22.453125" style="14"/>
    <col min="23" max="23" width="22.453125" style="23"/>
    <col min="24" max="24" width="22.453125" style="22"/>
    <col min="25" max="32" width="22.453125" style="14"/>
    <col min="33" max="33" width="22.453125" style="23"/>
    <col min="34" max="34" width="22.453125" style="22"/>
    <col min="35" max="38" width="22.453125" style="14"/>
    <col min="39" max="39" width="22.453125" style="23"/>
    <col min="40" max="40" width="67.54296875" style="24" customWidth="1"/>
    <col min="41" max="16384" width="22.453125" style="14"/>
  </cols>
  <sheetData>
    <row r="1" spans="1:40" ht="24" customHeight="1" thickBot="1">
      <c r="A1" s="210" t="s">
        <v>191</v>
      </c>
      <c r="B1" s="334" t="s">
        <v>192</v>
      </c>
      <c r="C1" s="256" t="s">
        <v>193</v>
      </c>
      <c r="D1" s="213" t="s">
        <v>120</v>
      </c>
      <c r="E1" s="271" t="s">
        <v>194</v>
      </c>
      <c r="F1" s="331"/>
      <c r="G1" s="193" t="s">
        <v>195</v>
      </c>
      <c r="H1" s="185"/>
      <c r="I1" s="185"/>
      <c r="J1" s="185"/>
      <c r="K1" s="185"/>
      <c r="L1" s="204"/>
      <c r="M1" s="193" t="s">
        <v>196</v>
      </c>
      <c r="N1" s="185"/>
      <c r="O1" s="185"/>
      <c r="P1" s="185"/>
      <c r="Q1" s="185"/>
      <c r="R1" s="185"/>
      <c r="S1" s="204"/>
      <c r="T1" s="193" t="s">
        <v>197</v>
      </c>
      <c r="U1" s="185"/>
      <c r="V1" s="185"/>
      <c r="W1" s="204"/>
      <c r="X1" s="249" t="s">
        <v>198</v>
      </c>
      <c r="Y1" s="250"/>
      <c r="Z1" s="250"/>
      <c r="AA1" s="250"/>
      <c r="AB1" s="250"/>
      <c r="AC1" s="250"/>
      <c r="AD1" s="250"/>
      <c r="AE1" s="250"/>
      <c r="AF1" s="250"/>
      <c r="AG1" s="217"/>
      <c r="AH1" s="197" t="s">
        <v>199</v>
      </c>
      <c r="AI1" s="198"/>
      <c r="AJ1" s="198"/>
      <c r="AK1" s="198"/>
      <c r="AL1" s="198"/>
      <c r="AM1" s="239"/>
      <c r="AN1" s="233" t="s">
        <v>200</v>
      </c>
    </row>
    <row r="2" spans="1:40" ht="24" customHeight="1" thickBot="1">
      <c r="A2" s="211"/>
      <c r="B2" s="205"/>
      <c r="C2" s="257"/>
      <c r="D2" s="214"/>
      <c r="E2" s="332" t="s">
        <v>201</v>
      </c>
      <c r="F2" s="259" t="s">
        <v>202</v>
      </c>
      <c r="G2" s="216" t="s">
        <v>83</v>
      </c>
      <c r="H2" s="186" t="s">
        <v>84</v>
      </c>
      <c r="I2" s="220" t="s">
        <v>87</v>
      </c>
      <c r="J2" s="220" t="s">
        <v>85</v>
      </c>
      <c r="K2" s="220" t="s">
        <v>86</v>
      </c>
      <c r="L2" s="260" t="s">
        <v>165</v>
      </c>
      <c r="M2" s="216" t="s">
        <v>83</v>
      </c>
      <c r="N2" s="186" t="s">
        <v>84</v>
      </c>
      <c r="O2" s="186" t="s">
        <v>87</v>
      </c>
      <c r="P2" s="186" t="s">
        <v>85</v>
      </c>
      <c r="Q2" s="186" t="s">
        <v>86</v>
      </c>
      <c r="R2" s="260" t="s">
        <v>165</v>
      </c>
      <c r="S2" s="260" t="s">
        <v>120</v>
      </c>
      <c r="T2" s="216"/>
      <c r="U2" s="186"/>
      <c r="V2" s="186"/>
      <c r="W2" s="260"/>
      <c r="X2" s="272"/>
      <c r="Y2" s="333"/>
      <c r="Z2" s="333"/>
      <c r="AA2" s="333"/>
      <c r="AB2" s="333"/>
      <c r="AC2" s="333"/>
      <c r="AD2" s="333"/>
      <c r="AE2" s="333"/>
      <c r="AF2" s="333"/>
      <c r="AG2" s="219"/>
      <c r="AH2" s="199"/>
      <c r="AI2" s="200"/>
      <c r="AJ2" s="200"/>
      <c r="AK2" s="200"/>
      <c r="AL2" s="200"/>
      <c r="AM2" s="240"/>
      <c r="AN2" s="234"/>
    </row>
    <row r="3" spans="1:40" ht="99" customHeight="1" thickBot="1">
      <c r="A3" s="212"/>
      <c r="B3" s="206"/>
      <c r="C3" s="258"/>
      <c r="D3" s="215"/>
      <c r="E3" s="258"/>
      <c r="F3" s="248"/>
      <c r="G3" s="194"/>
      <c r="H3" s="187"/>
      <c r="I3" s="221"/>
      <c r="J3" s="221"/>
      <c r="K3" s="221"/>
      <c r="L3" s="261"/>
      <c r="M3" s="194"/>
      <c r="N3" s="187"/>
      <c r="O3" s="229"/>
      <c r="P3" s="187"/>
      <c r="Q3" s="187"/>
      <c r="R3" s="261"/>
      <c r="S3" s="261"/>
      <c r="T3" s="18" t="s">
        <v>167</v>
      </c>
      <c r="U3" s="19" t="s">
        <v>168</v>
      </c>
      <c r="V3" s="19" t="s">
        <v>169</v>
      </c>
      <c r="W3" s="20" t="s">
        <v>170</v>
      </c>
      <c r="X3" s="50" t="s">
        <v>88</v>
      </c>
      <c r="Y3" s="51" t="s">
        <v>469</v>
      </c>
      <c r="Z3" s="19" t="s">
        <v>91</v>
      </c>
      <c r="AA3" s="19" t="s">
        <v>90</v>
      </c>
      <c r="AB3" s="19" t="s">
        <v>92</v>
      </c>
      <c r="AC3" s="19" t="s">
        <v>93</v>
      </c>
      <c r="AD3" s="19" t="s">
        <v>94</v>
      </c>
      <c r="AE3" s="19" t="s">
        <v>95</v>
      </c>
      <c r="AF3" s="19" t="s">
        <v>96</v>
      </c>
      <c r="AG3" s="19" t="s">
        <v>97</v>
      </c>
      <c r="AH3" s="18" t="s">
        <v>98</v>
      </c>
      <c r="AI3" s="19" t="s">
        <v>99</v>
      </c>
      <c r="AJ3" s="19" t="s">
        <v>100</v>
      </c>
      <c r="AK3" s="19" t="s">
        <v>101</v>
      </c>
      <c r="AL3" s="19" t="s">
        <v>102</v>
      </c>
      <c r="AM3" s="20" t="s">
        <v>103</v>
      </c>
      <c r="AN3" s="235"/>
    </row>
    <row r="4" spans="1:40">
      <c r="A4" s="22"/>
    </row>
    <row r="5" spans="1:40">
      <c r="A5" s="22"/>
    </row>
    <row r="6" spans="1:40">
      <c r="A6" s="22"/>
    </row>
    <row r="7" spans="1:40">
      <c r="A7" s="22"/>
    </row>
    <row r="8" spans="1:40">
      <c r="A8" s="22"/>
    </row>
    <row r="9" spans="1:40">
      <c r="A9" s="22"/>
    </row>
    <row r="10" spans="1:40">
      <c r="A10" s="22"/>
    </row>
    <row r="11" spans="1:40">
      <c r="A11" s="22"/>
    </row>
    <row r="12" spans="1:40">
      <c r="A12" s="22"/>
    </row>
    <row r="13" spans="1:40">
      <c r="A13" s="22"/>
    </row>
    <row r="14" spans="1:40">
      <c r="A14" s="22"/>
    </row>
    <row r="15" spans="1:40">
      <c r="A15" s="22"/>
    </row>
    <row r="16" spans="1:40">
      <c r="A16" s="22"/>
    </row>
    <row r="17" spans="1:1">
      <c r="A17" s="22"/>
    </row>
    <row r="18" spans="1:1">
      <c r="A18" s="22"/>
    </row>
    <row r="19" spans="1:1">
      <c r="A19" s="22"/>
    </row>
    <row r="20" spans="1:1">
      <c r="A20" s="22"/>
    </row>
    <row r="21" spans="1:1">
      <c r="A21" s="22"/>
    </row>
    <row r="22" spans="1:1">
      <c r="A22" s="22"/>
    </row>
    <row r="23" spans="1:1">
      <c r="A23" s="22"/>
    </row>
    <row r="24" spans="1:1">
      <c r="A24" s="22"/>
    </row>
    <row r="25" spans="1:1">
      <c r="A25" s="22"/>
    </row>
    <row r="26" spans="1:1">
      <c r="A26" s="22"/>
    </row>
    <row r="27" spans="1:1">
      <c r="A27" s="22"/>
    </row>
    <row r="28" spans="1:1">
      <c r="A28" s="22"/>
    </row>
    <row r="29" spans="1:1">
      <c r="A29" s="22"/>
    </row>
    <row r="30" spans="1:1">
      <c r="A30" s="22"/>
    </row>
    <row r="31" spans="1:1">
      <c r="A31" s="22"/>
    </row>
    <row r="32" spans="1:1">
      <c r="A32" s="22"/>
    </row>
    <row r="33" spans="1:1">
      <c r="A33" s="22"/>
    </row>
    <row r="34" spans="1:1">
      <c r="A34" s="22"/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  <row r="62" spans="1:1">
      <c r="A62" s="22"/>
    </row>
    <row r="63" spans="1:1">
      <c r="A63" s="22"/>
    </row>
    <row r="64" spans="1:1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  <row r="86" spans="1:1">
      <c r="A86" s="22"/>
    </row>
    <row r="87" spans="1:1">
      <c r="A87" s="22"/>
    </row>
    <row r="88" spans="1:1">
      <c r="A88" s="22"/>
    </row>
    <row r="89" spans="1:1">
      <c r="A89" s="22"/>
    </row>
    <row r="90" spans="1:1">
      <c r="A90" s="22"/>
    </row>
    <row r="91" spans="1:1">
      <c r="A91" s="22"/>
    </row>
    <row r="92" spans="1:1">
      <c r="A92" s="22"/>
    </row>
    <row r="93" spans="1:1">
      <c r="A93" s="22"/>
    </row>
    <row r="94" spans="1:1">
      <c r="A94" s="22"/>
    </row>
    <row r="95" spans="1:1">
      <c r="A95" s="22"/>
    </row>
    <row r="96" spans="1: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  <row r="107" spans="1:1">
      <c r="A107" s="22"/>
    </row>
    <row r="108" spans="1:1">
      <c r="A108" s="22"/>
    </row>
    <row r="109" spans="1:1">
      <c r="A109" s="22"/>
    </row>
    <row r="110" spans="1:1">
      <c r="A110" s="22"/>
    </row>
    <row r="111" spans="1:1">
      <c r="A111" s="22"/>
    </row>
    <row r="112" spans="1:1">
      <c r="A112" s="22"/>
    </row>
    <row r="113" spans="1:1">
      <c r="A113" s="22"/>
    </row>
    <row r="114" spans="1:1">
      <c r="A114" s="22"/>
    </row>
    <row r="115" spans="1:1">
      <c r="A115" s="22"/>
    </row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  <row r="151" spans="1:1">
      <c r="A151" s="22"/>
    </row>
    <row r="152" spans="1:1">
      <c r="A152" s="22"/>
    </row>
    <row r="153" spans="1:1">
      <c r="A153" s="22"/>
    </row>
    <row r="154" spans="1:1">
      <c r="A154" s="22"/>
    </row>
    <row r="155" spans="1:1">
      <c r="A155" s="22"/>
    </row>
    <row r="156" spans="1:1">
      <c r="A156" s="22"/>
    </row>
    <row r="157" spans="1:1">
      <c r="A157" s="22"/>
    </row>
    <row r="158" spans="1:1">
      <c r="A158" s="22"/>
    </row>
    <row r="159" spans="1:1">
      <c r="A159" s="22"/>
    </row>
    <row r="160" spans="1:1">
      <c r="A160" s="22"/>
    </row>
    <row r="161" spans="1:1">
      <c r="A161" s="22"/>
    </row>
    <row r="162" spans="1:1">
      <c r="A162" s="22"/>
    </row>
    <row r="163" spans="1:1">
      <c r="A163" s="22"/>
    </row>
    <row r="164" spans="1:1">
      <c r="A164" s="22"/>
    </row>
    <row r="165" spans="1:1">
      <c r="A165" s="22"/>
    </row>
    <row r="166" spans="1:1">
      <c r="A166" s="22"/>
    </row>
    <row r="167" spans="1:1">
      <c r="A167" s="22"/>
    </row>
    <row r="168" spans="1:1">
      <c r="A168" s="22"/>
    </row>
    <row r="169" spans="1:1">
      <c r="A169" s="22"/>
    </row>
    <row r="170" spans="1:1">
      <c r="A170" s="22"/>
    </row>
    <row r="171" spans="1:1">
      <c r="A171" s="22"/>
    </row>
    <row r="172" spans="1:1">
      <c r="A172" s="22"/>
    </row>
    <row r="173" spans="1:1">
      <c r="A173" s="22"/>
    </row>
    <row r="174" spans="1:1">
      <c r="A174" s="22"/>
    </row>
    <row r="175" spans="1:1">
      <c r="A175" s="22"/>
    </row>
    <row r="176" spans="1:1">
      <c r="A176" s="22"/>
    </row>
    <row r="177" spans="1:1">
      <c r="A177" s="22"/>
    </row>
    <row r="178" spans="1:1">
      <c r="A178" s="22"/>
    </row>
    <row r="179" spans="1:1">
      <c r="A179" s="22"/>
    </row>
    <row r="180" spans="1:1">
      <c r="A180" s="22"/>
    </row>
    <row r="181" spans="1:1">
      <c r="A181" s="22"/>
    </row>
    <row r="182" spans="1:1">
      <c r="A182" s="22"/>
    </row>
    <row r="183" spans="1:1">
      <c r="A183" s="22"/>
    </row>
    <row r="184" spans="1:1">
      <c r="A184" s="22"/>
    </row>
    <row r="185" spans="1:1">
      <c r="A185" s="22"/>
    </row>
    <row r="186" spans="1:1">
      <c r="A186" s="22"/>
    </row>
    <row r="187" spans="1:1">
      <c r="A187" s="22"/>
    </row>
    <row r="188" spans="1:1">
      <c r="A188" s="22"/>
    </row>
    <row r="189" spans="1:1">
      <c r="A189" s="22"/>
    </row>
    <row r="190" spans="1:1">
      <c r="A190" s="22"/>
    </row>
    <row r="191" spans="1:1">
      <c r="A191" s="22"/>
    </row>
    <row r="192" spans="1:1">
      <c r="A192" s="22"/>
    </row>
    <row r="193" spans="1:1">
      <c r="A193" s="22"/>
    </row>
    <row r="194" spans="1:1">
      <c r="A194" s="22"/>
    </row>
    <row r="195" spans="1:1">
      <c r="A195" s="22"/>
    </row>
    <row r="196" spans="1:1">
      <c r="A196" s="22"/>
    </row>
    <row r="197" spans="1:1">
      <c r="A197" s="22"/>
    </row>
    <row r="198" spans="1:1">
      <c r="A198" s="22"/>
    </row>
    <row r="199" spans="1:1">
      <c r="A199" s="22"/>
    </row>
    <row r="200" spans="1:1">
      <c r="A200" s="22"/>
    </row>
  </sheetData>
  <mergeCells count="26">
    <mergeCell ref="O2:O3"/>
    <mergeCell ref="P2:P3"/>
    <mergeCell ref="X1:AG2"/>
    <mergeCell ref="A1:A3"/>
    <mergeCell ref="B1:B3"/>
    <mergeCell ref="G2:G3"/>
    <mergeCell ref="I2:I3"/>
    <mergeCell ref="J2:J3"/>
    <mergeCell ref="G1:L1"/>
    <mergeCell ref="H2:H3"/>
    <mergeCell ref="AN1:AN3"/>
    <mergeCell ref="C1:C3"/>
    <mergeCell ref="D1:D3"/>
    <mergeCell ref="E1:F1"/>
    <mergeCell ref="E2:E3"/>
    <mergeCell ref="F2:F3"/>
    <mergeCell ref="K2:K3"/>
    <mergeCell ref="L2:L3"/>
    <mergeCell ref="AH1:AM2"/>
    <mergeCell ref="Q2:Q3"/>
    <mergeCell ref="R2:R3"/>
    <mergeCell ref="T1:W2"/>
    <mergeCell ref="S2:S3"/>
    <mergeCell ref="M1:S1"/>
    <mergeCell ref="M2:M3"/>
    <mergeCell ref="N2:N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'Ref.'!$A$35:$A$36</xm:f>
          </x14:formula1>
          <xm:sqref>C4:C200</xm:sqref>
        </x14:dataValidation>
        <x14:dataValidation type="list" allowBlank="1" showInputMessage="1" showErrorMessage="1" xr:uid="{00000000-0002-0000-0400-000001000000}">
          <x14:formula1>
            <xm:f>'Ref.'!$I$4:$I$5</xm:f>
          </x14:formula1>
          <xm:sqref>X4:AM200</xm:sqref>
        </x14:dataValidation>
        <x14:dataValidation type="list" allowBlank="1" showInputMessage="1" showErrorMessage="1" xr:uid="{00000000-0002-0000-0400-000003000000}">
          <x14:formula1>
            <xm:f>'Ref.'!$B$35:$B$36</xm:f>
          </x14:formula1>
          <xm:sqref>E4:E200</xm:sqref>
        </x14:dataValidation>
        <x14:dataValidation type="list" allowBlank="1" showInputMessage="1" showErrorMessage="1" xr:uid="{00000000-0002-0000-0400-000005000000}">
          <x14:formula1>
            <xm:f>'Ref.'!$P$4:$P$5</xm:f>
          </x14:formula1>
          <xm:sqref>T4:V200</xm:sqref>
        </x14:dataValidation>
        <x14:dataValidation type="list" allowBlank="1" showInputMessage="1" showErrorMessage="1" xr:uid="{00000000-0002-0000-0400-000002000000}">
          <x14:formula1>
            <xm:f>'Ref.'!$A$66:$A$134</xm:f>
          </x14:formula1>
          <xm:sqref>A4:A200</xm:sqref>
        </x14:dataValidation>
        <x14:dataValidation type="list" allowBlank="1" showInputMessage="1" showErrorMessage="1" xr:uid="{7F4496EA-C3D5-497D-8A0E-69A612534569}">
          <x14:formula1>
            <xm:f>'Ref.'!$P$2:$P$3</xm:f>
          </x14:formula1>
          <xm:sqref>W4:W1048576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CS5"/>
  <sheetViews>
    <sheetView topLeftCell="CK1" workbookViewId="0">
      <pane ySplit="4" topLeftCell="A5" activePane="bottomLeft" state="frozen"/>
      <selection pane="bottomLeft" activeCell="CP18" sqref="CP18"/>
    </sheetView>
  </sheetViews>
  <sheetFormatPr defaultColWidth="25.08984375" defaultRowHeight="14.5"/>
  <cols>
    <col min="1" max="16384" width="25.08984375" style="14"/>
  </cols>
  <sheetData>
    <row r="1" spans="1:97" ht="31.5" customHeight="1">
      <c r="A1" s="373" t="s">
        <v>191</v>
      </c>
      <c r="B1" s="343" t="s">
        <v>203</v>
      </c>
      <c r="C1" s="346" t="s">
        <v>204</v>
      </c>
      <c r="D1" s="346" t="s">
        <v>120</v>
      </c>
      <c r="E1" s="366" t="s">
        <v>205</v>
      </c>
      <c r="F1" s="367"/>
      <c r="G1" s="367"/>
      <c r="H1" s="367"/>
      <c r="I1" s="367"/>
      <c r="J1" s="367"/>
      <c r="K1" s="367"/>
      <c r="L1" s="367"/>
      <c r="M1" s="367"/>
      <c r="N1" s="367"/>
      <c r="O1" s="380"/>
      <c r="P1" s="366" t="s">
        <v>206</v>
      </c>
      <c r="Q1" s="367"/>
      <c r="R1" s="367"/>
      <c r="S1" s="367"/>
      <c r="T1" s="367"/>
      <c r="U1" s="367"/>
      <c r="V1" s="367"/>
      <c r="W1" s="367"/>
      <c r="X1" s="367"/>
      <c r="Y1" s="367"/>
      <c r="Z1" s="380"/>
      <c r="AA1" s="366" t="s">
        <v>207</v>
      </c>
      <c r="AB1" s="367"/>
      <c r="AC1" s="367"/>
      <c r="AD1" s="367"/>
      <c r="AE1" s="367"/>
      <c r="AF1" s="367"/>
      <c r="AG1" s="367"/>
      <c r="AH1" s="368"/>
      <c r="AI1" s="358" t="s">
        <v>208</v>
      </c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  <c r="CA1" s="359"/>
      <c r="CB1" s="359"/>
      <c r="CC1" s="359"/>
      <c r="CD1" s="359"/>
      <c r="CE1" s="359"/>
      <c r="CF1" s="359"/>
      <c r="CG1" s="359"/>
      <c r="CH1" s="359"/>
      <c r="CI1" s="359"/>
      <c r="CJ1" s="359"/>
      <c r="CK1" s="359"/>
      <c r="CL1" s="359"/>
      <c r="CM1" s="359"/>
      <c r="CN1" s="359"/>
      <c r="CO1" s="359"/>
      <c r="CP1" s="360"/>
      <c r="CQ1" s="343" t="s">
        <v>209</v>
      </c>
      <c r="CR1" s="346" t="s">
        <v>210</v>
      </c>
      <c r="CS1" s="347" t="s">
        <v>211</v>
      </c>
    </row>
    <row r="2" spans="1:97" ht="15">
      <c r="A2" s="374"/>
      <c r="B2" s="376"/>
      <c r="C2" s="344"/>
      <c r="D2" s="344"/>
      <c r="E2" s="370" t="s">
        <v>212</v>
      </c>
      <c r="F2" s="350" t="s">
        <v>213</v>
      </c>
      <c r="G2" s="350" t="s">
        <v>214</v>
      </c>
      <c r="H2" s="350" t="s">
        <v>215</v>
      </c>
      <c r="I2" s="350" t="s">
        <v>216</v>
      </c>
      <c r="J2" s="350" t="s">
        <v>217</v>
      </c>
      <c r="K2" s="350" t="s">
        <v>218</v>
      </c>
      <c r="L2" s="350" t="s">
        <v>219</v>
      </c>
      <c r="M2" s="350" t="s">
        <v>220</v>
      </c>
      <c r="N2" s="350" t="s">
        <v>221</v>
      </c>
      <c r="O2" s="361" t="s">
        <v>222</v>
      </c>
      <c r="P2" s="370" t="s">
        <v>212</v>
      </c>
      <c r="Q2" s="350" t="s">
        <v>213</v>
      </c>
      <c r="R2" s="350" t="s">
        <v>214</v>
      </c>
      <c r="S2" s="350" t="s">
        <v>215</v>
      </c>
      <c r="T2" s="350" t="s">
        <v>216</v>
      </c>
      <c r="U2" s="350" t="s">
        <v>217</v>
      </c>
      <c r="V2" s="350" t="s">
        <v>218</v>
      </c>
      <c r="W2" s="350" t="s">
        <v>219</v>
      </c>
      <c r="X2" s="350" t="s">
        <v>220</v>
      </c>
      <c r="Y2" s="350" t="s">
        <v>221</v>
      </c>
      <c r="Z2" s="361" t="s">
        <v>222</v>
      </c>
      <c r="AA2" s="370" t="s">
        <v>223</v>
      </c>
      <c r="AB2" s="350" t="s">
        <v>224</v>
      </c>
      <c r="AC2" s="350" t="s">
        <v>225</v>
      </c>
      <c r="AD2" s="350" t="s">
        <v>226</v>
      </c>
      <c r="AE2" s="350" t="s">
        <v>227</v>
      </c>
      <c r="AF2" s="350" t="s">
        <v>228</v>
      </c>
      <c r="AG2" s="350" t="s">
        <v>229</v>
      </c>
      <c r="AH2" s="355" t="s">
        <v>222</v>
      </c>
      <c r="AI2" s="378" t="s">
        <v>230</v>
      </c>
      <c r="AJ2" s="362"/>
      <c r="AK2" s="362"/>
      <c r="AL2" s="362"/>
      <c r="AM2" s="362"/>
      <c r="AN2" s="66"/>
      <c r="AO2" s="361" t="s">
        <v>231</v>
      </c>
      <c r="AP2" s="362"/>
      <c r="AQ2" s="362"/>
      <c r="AR2" s="362"/>
      <c r="AS2" s="379"/>
      <c r="AT2" s="66"/>
      <c r="AU2" s="361" t="s">
        <v>232</v>
      </c>
      <c r="AV2" s="362"/>
      <c r="AW2" s="362"/>
      <c r="AX2" s="362"/>
      <c r="AY2" s="362"/>
      <c r="AZ2" s="379"/>
      <c r="BA2" s="361" t="s">
        <v>233</v>
      </c>
      <c r="BB2" s="362"/>
      <c r="BC2" s="362"/>
      <c r="BD2" s="362"/>
      <c r="BE2" s="362"/>
      <c r="BF2" s="379"/>
      <c r="BG2" s="66" t="s">
        <v>480</v>
      </c>
      <c r="BH2" s="66"/>
      <c r="BI2" s="66"/>
      <c r="BJ2" s="66"/>
      <c r="BK2" s="66"/>
      <c r="BL2" s="66"/>
      <c r="BM2" s="361" t="s">
        <v>234</v>
      </c>
      <c r="BN2" s="362"/>
      <c r="BO2" s="362"/>
      <c r="BP2" s="362"/>
      <c r="BQ2" s="362"/>
      <c r="BR2" s="379"/>
      <c r="BS2" s="361" t="s">
        <v>235</v>
      </c>
      <c r="BT2" s="362"/>
      <c r="BU2" s="362"/>
      <c r="BV2" s="362"/>
      <c r="BW2" s="362"/>
      <c r="BX2" s="379"/>
      <c r="BY2" s="361" t="s">
        <v>236</v>
      </c>
      <c r="BZ2" s="362"/>
      <c r="CA2" s="362"/>
      <c r="CB2" s="362"/>
      <c r="CC2" s="362"/>
      <c r="CD2" s="379"/>
      <c r="CE2" s="361" t="s">
        <v>237</v>
      </c>
      <c r="CF2" s="362"/>
      <c r="CG2" s="362"/>
      <c r="CH2" s="362"/>
      <c r="CI2" s="362"/>
      <c r="CJ2" s="379"/>
      <c r="CK2" s="361" t="s">
        <v>238</v>
      </c>
      <c r="CL2" s="362"/>
      <c r="CM2" s="362"/>
      <c r="CN2" s="350" t="s">
        <v>170</v>
      </c>
      <c r="CO2" s="350"/>
      <c r="CP2" s="355"/>
      <c r="CQ2" s="344"/>
      <c r="CR2" s="344"/>
      <c r="CS2" s="348"/>
    </row>
    <row r="3" spans="1:97" ht="15" customHeight="1">
      <c r="A3" s="374"/>
      <c r="B3" s="376"/>
      <c r="C3" s="344"/>
      <c r="D3" s="344"/>
      <c r="E3" s="370"/>
      <c r="F3" s="350"/>
      <c r="G3" s="350"/>
      <c r="H3" s="350"/>
      <c r="I3" s="350"/>
      <c r="J3" s="350"/>
      <c r="K3" s="350"/>
      <c r="L3" s="350"/>
      <c r="M3" s="350"/>
      <c r="N3" s="350"/>
      <c r="O3" s="361"/>
      <c r="P3" s="370"/>
      <c r="Q3" s="350"/>
      <c r="R3" s="350"/>
      <c r="S3" s="350"/>
      <c r="T3" s="350"/>
      <c r="U3" s="350"/>
      <c r="V3" s="350"/>
      <c r="W3" s="350"/>
      <c r="X3" s="350"/>
      <c r="Y3" s="350"/>
      <c r="Z3" s="361"/>
      <c r="AA3" s="370"/>
      <c r="AB3" s="350"/>
      <c r="AC3" s="350"/>
      <c r="AD3" s="350"/>
      <c r="AE3" s="350"/>
      <c r="AF3" s="350"/>
      <c r="AG3" s="350"/>
      <c r="AH3" s="355"/>
      <c r="AI3" s="379" t="s">
        <v>239</v>
      </c>
      <c r="AJ3" s="350" t="s">
        <v>240</v>
      </c>
      <c r="AK3" s="335" t="s">
        <v>473</v>
      </c>
      <c r="AL3" s="341" t="s">
        <v>472</v>
      </c>
      <c r="AM3" s="339" t="s">
        <v>241</v>
      </c>
      <c r="AN3" s="339" t="s">
        <v>170</v>
      </c>
      <c r="AO3" s="350" t="s">
        <v>239</v>
      </c>
      <c r="AP3" s="350" t="s">
        <v>240</v>
      </c>
      <c r="AQ3" s="339" t="s">
        <v>473</v>
      </c>
      <c r="AR3" s="364" t="s">
        <v>474</v>
      </c>
      <c r="AS3" s="329" t="s">
        <v>242</v>
      </c>
      <c r="AT3" s="329" t="s">
        <v>170</v>
      </c>
      <c r="AU3" s="350" t="s">
        <v>239</v>
      </c>
      <c r="AV3" s="350" t="s">
        <v>240</v>
      </c>
      <c r="AW3" s="335" t="s">
        <v>473</v>
      </c>
      <c r="AX3" s="337" t="s">
        <v>475</v>
      </c>
      <c r="AY3" s="339" t="s">
        <v>243</v>
      </c>
      <c r="AZ3" s="350" t="s">
        <v>170</v>
      </c>
      <c r="BA3" s="350" t="s">
        <v>239</v>
      </c>
      <c r="BB3" s="350" t="s">
        <v>240</v>
      </c>
      <c r="BC3" s="339" t="s">
        <v>473</v>
      </c>
      <c r="BD3" s="339" t="s">
        <v>476</v>
      </c>
      <c r="BE3" s="339" t="s">
        <v>244</v>
      </c>
      <c r="BF3" s="350" t="s">
        <v>170</v>
      </c>
      <c r="BG3" s="350" t="s">
        <v>239</v>
      </c>
      <c r="BH3" s="350" t="s">
        <v>240</v>
      </c>
      <c r="BI3" s="339" t="s">
        <v>473</v>
      </c>
      <c r="BJ3" s="339" t="s">
        <v>481</v>
      </c>
      <c r="BK3" s="339" t="s">
        <v>482</v>
      </c>
      <c r="BL3" s="339" t="s">
        <v>170</v>
      </c>
      <c r="BM3" s="350" t="s">
        <v>239</v>
      </c>
      <c r="BN3" s="350" t="s">
        <v>240</v>
      </c>
      <c r="BO3" s="339" t="s">
        <v>477</v>
      </c>
      <c r="BP3" s="339" t="s">
        <v>478</v>
      </c>
      <c r="BQ3" s="350" t="s">
        <v>479</v>
      </c>
      <c r="BR3" s="339" t="s">
        <v>170</v>
      </c>
      <c r="BS3" s="350" t="s">
        <v>239</v>
      </c>
      <c r="BT3" s="350" t="s">
        <v>240</v>
      </c>
      <c r="BU3" s="339" t="s">
        <v>477</v>
      </c>
      <c r="BV3" s="339" t="s">
        <v>483</v>
      </c>
      <c r="BW3" s="329" t="s">
        <v>484</v>
      </c>
      <c r="BX3" s="350" t="s">
        <v>170</v>
      </c>
      <c r="BY3" s="350" t="s">
        <v>245</v>
      </c>
      <c r="BZ3" s="350" t="s">
        <v>240</v>
      </c>
      <c r="CA3" s="339" t="s">
        <v>473</v>
      </c>
      <c r="CB3" s="339" t="s">
        <v>485</v>
      </c>
      <c r="CC3" s="350" t="s">
        <v>486</v>
      </c>
      <c r="CD3" s="339" t="s">
        <v>170</v>
      </c>
      <c r="CE3" s="350" t="s">
        <v>245</v>
      </c>
      <c r="CF3" s="350" t="s">
        <v>240</v>
      </c>
      <c r="CG3" s="339" t="s">
        <v>487</v>
      </c>
      <c r="CH3" s="339" t="s">
        <v>488</v>
      </c>
      <c r="CI3" s="350" t="s">
        <v>489</v>
      </c>
      <c r="CJ3" s="339" t="s">
        <v>170</v>
      </c>
      <c r="CK3" s="350" t="s">
        <v>245</v>
      </c>
      <c r="CL3" s="350" t="s">
        <v>240</v>
      </c>
      <c r="CM3" s="381" t="s">
        <v>961</v>
      </c>
      <c r="CN3" s="352" t="s">
        <v>245</v>
      </c>
      <c r="CO3" s="354" t="s">
        <v>240</v>
      </c>
      <c r="CP3" s="356" t="s">
        <v>490</v>
      </c>
      <c r="CQ3" s="344"/>
      <c r="CR3" s="344"/>
      <c r="CS3" s="348"/>
    </row>
    <row r="4" spans="1:97" ht="57.65" customHeight="1" thickBot="1">
      <c r="A4" s="375"/>
      <c r="B4" s="377"/>
      <c r="C4" s="345"/>
      <c r="D4" s="345"/>
      <c r="E4" s="371"/>
      <c r="F4" s="351"/>
      <c r="G4" s="351"/>
      <c r="H4" s="351"/>
      <c r="I4" s="351"/>
      <c r="J4" s="351"/>
      <c r="K4" s="351"/>
      <c r="L4" s="351"/>
      <c r="M4" s="351"/>
      <c r="N4" s="351"/>
      <c r="O4" s="369"/>
      <c r="P4" s="371"/>
      <c r="Q4" s="351"/>
      <c r="R4" s="351"/>
      <c r="S4" s="351"/>
      <c r="T4" s="351"/>
      <c r="U4" s="351"/>
      <c r="V4" s="351"/>
      <c r="W4" s="351"/>
      <c r="X4" s="351"/>
      <c r="Y4" s="351"/>
      <c r="Z4" s="369"/>
      <c r="AA4" s="371"/>
      <c r="AB4" s="351"/>
      <c r="AC4" s="351"/>
      <c r="AD4" s="351"/>
      <c r="AE4" s="351"/>
      <c r="AF4" s="351"/>
      <c r="AG4" s="351"/>
      <c r="AH4" s="372"/>
      <c r="AI4" s="353"/>
      <c r="AJ4" s="351"/>
      <c r="AK4" s="336"/>
      <c r="AL4" s="342"/>
      <c r="AM4" s="340"/>
      <c r="AN4" s="340"/>
      <c r="AO4" s="351"/>
      <c r="AP4" s="351"/>
      <c r="AQ4" s="340"/>
      <c r="AR4" s="365"/>
      <c r="AS4" s="330"/>
      <c r="AT4" s="330"/>
      <c r="AU4" s="351"/>
      <c r="AV4" s="351"/>
      <c r="AW4" s="336"/>
      <c r="AX4" s="338"/>
      <c r="AY4" s="340"/>
      <c r="AZ4" s="351"/>
      <c r="BA4" s="351"/>
      <c r="BB4" s="351"/>
      <c r="BC4" s="340"/>
      <c r="BD4" s="340"/>
      <c r="BE4" s="340"/>
      <c r="BF4" s="351"/>
      <c r="BG4" s="351"/>
      <c r="BH4" s="351"/>
      <c r="BI4" s="340"/>
      <c r="BJ4" s="340"/>
      <c r="BK4" s="340"/>
      <c r="BL4" s="340"/>
      <c r="BM4" s="351"/>
      <c r="BN4" s="351"/>
      <c r="BO4" s="340"/>
      <c r="BP4" s="340"/>
      <c r="BQ4" s="351"/>
      <c r="BR4" s="340"/>
      <c r="BS4" s="351"/>
      <c r="BT4" s="351"/>
      <c r="BU4" s="340"/>
      <c r="BV4" s="340"/>
      <c r="BW4" s="363"/>
      <c r="BX4" s="351"/>
      <c r="BY4" s="351"/>
      <c r="BZ4" s="351"/>
      <c r="CA4" s="340"/>
      <c r="CB4" s="340"/>
      <c r="CC4" s="351"/>
      <c r="CD4" s="340"/>
      <c r="CE4" s="351"/>
      <c r="CF4" s="351"/>
      <c r="CG4" s="340"/>
      <c r="CH4" s="340"/>
      <c r="CI4" s="351"/>
      <c r="CJ4" s="340"/>
      <c r="CK4" s="351"/>
      <c r="CL4" s="351"/>
      <c r="CM4" s="382"/>
      <c r="CN4" s="353"/>
      <c r="CO4" s="351"/>
      <c r="CP4" s="357"/>
      <c r="CQ4" s="345"/>
      <c r="CR4" s="345"/>
      <c r="CS4" s="349"/>
    </row>
    <row r="5" spans="1:97" ht="15" customHeight="1" thickBot="1">
      <c r="A5" s="52"/>
      <c r="B5" s="52"/>
      <c r="C5" s="53"/>
      <c r="D5" s="54"/>
      <c r="E5" s="52"/>
      <c r="F5" s="55"/>
      <c r="G5" s="55"/>
      <c r="H5" s="55"/>
      <c r="I5" s="55"/>
      <c r="J5" s="55"/>
      <c r="K5" s="55"/>
      <c r="L5" s="55"/>
      <c r="M5" s="55"/>
      <c r="N5" s="55"/>
      <c r="O5" s="54"/>
      <c r="P5" s="52"/>
      <c r="Q5" s="53"/>
      <c r="R5" s="53"/>
      <c r="S5" s="53"/>
      <c r="T5" s="53"/>
      <c r="U5" s="53"/>
      <c r="V5" s="53"/>
      <c r="W5" s="53"/>
      <c r="X5" s="53"/>
      <c r="Y5" s="53"/>
      <c r="Z5" s="54"/>
      <c r="AA5" s="52"/>
      <c r="AB5" s="53"/>
      <c r="AC5" s="53"/>
      <c r="AD5" s="53"/>
      <c r="AE5" s="53"/>
      <c r="AF5" s="53"/>
      <c r="AG5" s="53"/>
      <c r="AH5" s="54"/>
      <c r="AI5" s="56"/>
      <c r="AJ5" s="55"/>
      <c r="AK5" s="55"/>
      <c r="AL5" s="55"/>
      <c r="AM5" s="55"/>
      <c r="AO5" s="59"/>
      <c r="AP5" s="55"/>
      <c r="AQ5" s="55"/>
      <c r="AR5" s="55"/>
      <c r="AS5" s="55"/>
      <c r="AT5" s="55"/>
      <c r="AU5" s="59"/>
      <c r="AV5" s="55"/>
      <c r="AW5" s="55"/>
      <c r="AX5" s="55"/>
      <c r="AY5" s="55"/>
      <c r="AZ5" s="58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9"/>
      <c r="BN5" s="55"/>
      <c r="BO5" s="55"/>
      <c r="BP5" s="55"/>
      <c r="BQ5" s="55"/>
      <c r="BR5" s="58"/>
      <c r="BS5" s="55"/>
      <c r="BT5" s="55"/>
      <c r="BU5" s="55"/>
      <c r="BV5" s="55"/>
      <c r="BW5" s="55"/>
      <c r="BX5" s="55"/>
      <c r="BY5" s="59"/>
      <c r="BZ5" s="55"/>
      <c r="CA5" s="55"/>
      <c r="CB5" s="55"/>
      <c r="CC5" s="55"/>
      <c r="CD5" s="55"/>
      <c r="CE5" s="59"/>
      <c r="CF5" s="55"/>
      <c r="CG5" s="55"/>
      <c r="CH5" s="55"/>
      <c r="CI5" s="55"/>
      <c r="CJ5" s="58"/>
      <c r="CK5" s="53"/>
      <c r="CL5" s="53"/>
      <c r="CM5" s="53"/>
      <c r="CN5" s="59"/>
      <c r="CO5" s="55"/>
      <c r="CP5" s="54"/>
      <c r="CQ5" s="52"/>
      <c r="CR5" s="53"/>
      <c r="CS5" s="54"/>
    </row>
  </sheetData>
  <mergeCells count="111">
    <mergeCell ref="CM3:CM4"/>
    <mergeCell ref="BS2:BX2"/>
    <mergeCell ref="CD3:CD4"/>
    <mergeCell ref="BY2:CD2"/>
    <mergeCell ref="CJ3:CJ4"/>
    <mergeCell ref="CE2:CJ2"/>
    <mergeCell ref="BA2:BF2"/>
    <mergeCell ref="BR3:BR4"/>
    <mergeCell ref="BM2:BR2"/>
    <mergeCell ref="CC3:CC4"/>
    <mergeCell ref="BM3:BM4"/>
    <mergeCell ref="CB3:CB4"/>
    <mergeCell ref="CG3:CG4"/>
    <mergeCell ref="CH3:CH4"/>
    <mergeCell ref="BZ3:BZ4"/>
    <mergeCell ref="BF3:BF4"/>
    <mergeCell ref="BO3:BO4"/>
    <mergeCell ref="BP3:BP4"/>
    <mergeCell ref="BG3:BG4"/>
    <mergeCell ref="BH3:BH4"/>
    <mergeCell ref="BI3:BI4"/>
    <mergeCell ref="BJ3:BJ4"/>
    <mergeCell ref="BK3:BK4"/>
    <mergeCell ref="BL3:BL4"/>
    <mergeCell ref="A1:A4"/>
    <mergeCell ref="B1:B4"/>
    <mergeCell ref="C1:C4"/>
    <mergeCell ref="D1:D4"/>
    <mergeCell ref="E2:E4"/>
    <mergeCell ref="AM3:AM4"/>
    <mergeCell ref="AI2:AM2"/>
    <mergeCell ref="AO2:AS2"/>
    <mergeCell ref="BQ3:BQ4"/>
    <mergeCell ref="AO3:AO4"/>
    <mergeCell ref="AP3:AP4"/>
    <mergeCell ref="AS3:AS4"/>
    <mergeCell ref="AU3:AU4"/>
    <mergeCell ref="AV3:AV4"/>
    <mergeCell ref="AZ3:AZ4"/>
    <mergeCell ref="BA3:BA4"/>
    <mergeCell ref="BB3:BB4"/>
    <mergeCell ref="AI3:AI4"/>
    <mergeCell ref="AJ3:AJ4"/>
    <mergeCell ref="AY3:AY4"/>
    <mergeCell ref="AU2:AZ2"/>
    <mergeCell ref="BE3:BE4"/>
    <mergeCell ref="E1:O1"/>
    <mergeCell ref="P1:Z1"/>
    <mergeCell ref="F2:F4"/>
    <mergeCell ref="T2:T4"/>
    <mergeCell ref="U2:U4"/>
    <mergeCell ref="V2:V4"/>
    <mergeCell ref="W2:W4"/>
    <mergeCell ref="X2:X4"/>
    <mergeCell ref="Y2:Y4"/>
    <mergeCell ref="M2:M4"/>
    <mergeCell ref="N2:N4"/>
    <mergeCell ref="O2:O4"/>
    <mergeCell ref="P2:P4"/>
    <mergeCell ref="Q2:Q4"/>
    <mergeCell ref="R2:R4"/>
    <mergeCell ref="S2:S4"/>
    <mergeCell ref="G2:G4"/>
    <mergeCell ref="H2:H4"/>
    <mergeCell ref="I2:I4"/>
    <mergeCell ref="J2:J4"/>
    <mergeCell ref="K2:K4"/>
    <mergeCell ref="L2:L4"/>
    <mergeCell ref="AA1:AH1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CQ1:CQ4"/>
    <mergeCell ref="CR1:CR4"/>
    <mergeCell ref="CS1:CS4"/>
    <mergeCell ref="CE3:CE4"/>
    <mergeCell ref="CF3:CF4"/>
    <mergeCell ref="CI3:CI4"/>
    <mergeCell ref="CN3:CN4"/>
    <mergeCell ref="CO3:CO4"/>
    <mergeCell ref="CN2:CP2"/>
    <mergeCell ref="CP3:CP4"/>
    <mergeCell ref="AI1:CP1"/>
    <mergeCell ref="CK2:CM2"/>
    <mergeCell ref="CK3:CK4"/>
    <mergeCell ref="CL3:CL4"/>
    <mergeCell ref="BN3:BN4"/>
    <mergeCell ref="BS3:BS4"/>
    <mergeCell ref="BT3:BT4"/>
    <mergeCell ref="BX3:BX4"/>
    <mergeCell ref="BY3:BY4"/>
    <mergeCell ref="BU3:BU4"/>
    <mergeCell ref="BV3:BV4"/>
    <mergeCell ref="BW3:BW4"/>
    <mergeCell ref="CA3:CA4"/>
    <mergeCell ref="AR3:AR4"/>
    <mergeCell ref="AW3:AW4"/>
    <mergeCell ref="AX3:AX4"/>
    <mergeCell ref="AT3:AT4"/>
    <mergeCell ref="BC3:BC4"/>
    <mergeCell ref="AK3:AK4"/>
    <mergeCell ref="AL3:AL4"/>
    <mergeCell ref="AN3:AN4"/>
    <mergeCell ref="AQ3:AQ4"/>
    <mergeCell ref="BD3:BD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'Ref.'!$B$20:$B$21</xm:f>
          </x14:formula1>
          <xm:sqref>CE5:CH1008 BY5:CB1008 BM5:BP1008 BS5:BV1008 AO5:AQ1046 AU5:AX868 AI5:AK869 BA5:BD947 CN5:CO1008 AA5:AG1389 AI1363:AK2752 CK5:CL5</xm:sqref>
        </x14:dataValidation>
        <x14:dataValidation type="list" allowBlank="1" showInputMessage="1" showErrorMessage="1" xr:uid="{00000000-0002-0000-0600-000001000000}">
          <x14:formula1>
            <xm:f>'Ref.'!$A$66:$A$134</xm:f>
          </x14:formula1>
          <xm:sqref>A5:A1384</xm:sqref>
        </x14:dataValidation>
        <x14:dataValidation type="list" allowBlank="1" showInputMessage="1" showErrorMessage="1" xr:uid="{F3230FAF-8AD1-46FD-9994-5E5F7AC92D24}">
          <x14:formula1>
            <xm:f>'Ref.'!$AB$2:$AB$3</xm:f>
          </x14:formula1>
          <xm:sqref>E5:O1048576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AJ200"/>
  <sheetViews>
    <sheetView workbookViewId="0">
      <pane ySplit="3" topLeftCell="A4" activePane="bottomLeft" state="frozen"/>
      <selection pane="bottomLeft" activeCell="AC1" sqref="AC1:AH2"/>
    </sheetView>
  </sheetViews>
  <sheetFormatPr defaultColWidth="23.90625" defaultRowHeight="14.5"/>
  <cols>
    <col min="1" max="1" width="23.90625" style="22"/>
    <col min="2" max="3" width="23.90625" style="23"/>
    <col min="4" max="5" width="23.90625" style="24"/>
    <col min="6" max="6" width="23.90625" style="22"/>
    <col min="7" max="10" width="23.90625" style="14"/>
    <col min="11" max="11" width="23.90625" style="23"/>
    <col min="12" max="13" width="23.90625" style="24"/>
    <col min="14" max="15" width="23.90625" style="22"/>
    <col min="16" max="17" width="23.90625" style="14"/>
    <col min="18" max="18" width="23.90625" style="23"/>
    <col min="19" max="28" width="23.90625" style="14"/>
    <col min="29" max="29" width="23.90625" style="22"/>
    <col min="30" max="33" width="23.90625" style="14"/>
    <col min="34" max="35" width="23.90625" style="23"/>
    <col min="36" max="36" width="59.90625" style="24" customWidth="1"/>
    <col min="37" max="16384" width="23.90625" style="14"/>
  </cols>
  <sheetData>
    <row r="1" spans="1:36" ht="25.5" customHeight="1">
      <c r="A1" s="383" t="s">
        <v>49</v>
      </c>
      <c r="B1" s="385" t="s">
        <v>246</v>
      </c>
      <c r="C1" s="373" t="s">
        <v>247</v>
      </c>
      <c r="D1" s="373" t="s">
        <v>248</v>
      </c>
      <c r="E1" s="373" t="s">
        <v>105</v>
      </c>
      <c r="F1" s="394" t="s">
        <v>249</v>
      </c>
      <c r="G1" s="395"/>
      <c r="H1" s="395"/>
      <c r="I1" s="395"/>
      <c r="J1" s="395"/>
      <c r="K1" s="396"/>
      <c r="L1" s="233" t="s">
        <v>250</v>
      </c>
      <c r="M1" s="373" t="s">
        <v>251</v>
      </c>
      <c r="N1" s="404" t="s">
        <v>252</v>
      </c>
      <c r="O1" s="390" t="s">
        <v>253</v>
      </c>
      <c r="P1" s="179"/>
      <c r="Q1" s="179"/>
      <c r="R1" s="325"/>
      <c r="S1" s="216" t="s">
        <v>254</v>
      </c>
      <c r="T1" s="186"/>
      <c r="U1" s="186"/>
      <c r="V1" s="186"/>
      <c r="W1" s="186"/>
      <c r="X1" s="186"/>
      <c r="Y1" s="186"/>
      <c r="Z1" s="186"/>
      <c r="AA1" s="186"/>
      <c r="AB1" s="186"/>
      <c r="AC1" s="249" t="s">
        <v>496</v>
      </c>
      <c r="AD1" s="250"/>
      <c r="AE1" s="250"/>
      <c r="AF1" s="250"/>
      <c r="AG1" s="250"/>
      <c r="AH1" s="217"/>
      <c r="AI1" s="373" t="s">
        <v>255</v>
      </c>
      <c r="AJ1" s="217" t="s">
        <v>256</v>
      </c>
    </row>
    <row r="2" spans="1:36" ht="15" hidden="1" customHeight="1">
      <c r="A2" s="384"/>
      <c r="B2" s="386"/>
      <c r="C2" s="374"/>
      <c r="D2" s="374"/>
      <c r="E2" s="374"/>
      <c r="F2" s="388" t="s">
        <v>83</v>
      </c>
      <c r="G2" s="397" t="s">
        <v>84</v>
      </c>
      <c r="H2" s="399" t="s">
        <v>87</v>
      </c>
      <c r="I2" s="399" t="s">
        <v>85</v>
      </c>
      <c r="J2" s="341" t="s">
        <v>86</v>
      </c>
      <c r="K2" s="402" t="s">
        <v>165</v>
      </c>
      <c r="L2" s="234"/>
      <c r="M2" s="374"/>
      <c r="N2" s="405"/>
      <c r="O2" s="391"/>
      <c r="P2" s="180"/>
      <c r="Q2" s="180"/>
      <c r="R2" s="326"/>
      <c r="S2" s="407"/>
      <c r="T2" s="408"/>
      <c r="U2" s="408"/>
      <c r="V2" s="408"/>
      <c r="W2" s="408"/>
      <c r="X2" s="408"/>
      <c r="Y2" s="408"/>
      <c r="Z2" s="408"/>
      <c r="AA2" s="408"/>
      <c r="AB2" s="408"/>
      <c r="AC2" s="251"/>
      <c r="AD2" s="252"/>
      <c r="AE2" s="252"/>
      <c r="AF2" s="252"/>
      <c r="AG2" s="252"/>
      <c r="AH2" s="253"/>
      <c r="AI2" s="374"/>
      <c r="AJ2" s="392"/>
    </row>
    <row r="3" spans="1:36" ht="131.15" customHeight="1" thickBot="1">
      <c r="A3" s="328"/>
      <c r="B3" s="387"/>
      <c r="C3" s="375"/>
      <c r="D3" s="375"/>
      <c r="E3" s="375"/>
      <c r="F3" s="389"/>
      <c r="G3" s="398"/>
      <c r="H3" s="400"/>
      <c r="I3" s="400"/>
      <c r="J3" s="401"/>
      <c r="K3" s="403"/>
      <c r="L3" s="235"/>
      <c r="M3" s="375"/>
      <c r="N3" s="406"/>
      <c r="O3" s="60" t="s">
        <v>167</v>
      </c>
      <c r="P3" s="61" t="s">
        <v>168</v>
      </c>
      <c r="Q3" s="61" t="s">
        <v>169</v>
      </c>
      <c r="R3" s="62" t="s">
        <v>170</v>
      </c>
      <c r="S3" s="61" t="s">
        <v>88</v>
      </c>
      <c r="T3" s="61" t="s">
        <v>469</v>
      </c>
      <c r="U3" s="61" t="s">
        <v>90</v>
      </c>
      <c r="V3" s="61" t="s">
        <v>91</v>
      </c>
      <c r="W3" s="61" t="s">
        <v>92</v>
      </c>
      <c r="X3" s="61" t="s">
        <v>93</v>
      </c>
      <c r="Y3" s="61" t="s">
        <v>94</v>
      </c>
      <c r="Z3" s="61" t="s">
        <v>95</v>
      </c>
      <c r="AA3" s="61" t="s">
        <v>96</v>
      </c>
      <c r="AB3" s="61" t="s">
        <v>97</v>
      </c>
      <c r="AC3" s="18" t="s">
        <v>98</v>
      </c>
      <c r="AD3" s="19" t="s">
        <v>99</v>
      </c>
      <c r="AE3" s="19" t="s">
        <v>100</v>
      </c>
      <c r="AF3" s="19" t="s">
        <v>101</v>
      </c>
      <c r="AG3" s="19" t="s">
        <v>102</v>
      </c>
      <c r="AH3" s="20" t="s">
        <v>103</v>
      </c>
      <c r="AI3" s="375"/>
      <c r="AJ3" s="393"/>
    </row>
    <row r="4" spans="1:36">
      <c r="K4" s="14"/>
    </row>
    <row r="5" spans="1:36">
      <c r="K5" s="14"/>
    </row>
    <row r="6" spans="1:36">
      <c r="K6" s="14"/>
    </row>
    <row r="7" spans="1:36">
      <c r="K7" s="14"/>
    </row>
    <row r="8" spans="1:36">
      <c r="K8" s="14"/>
    </row>
    <row r="9" spans="1:36">
      <c r="K9" s="14"/>
    </row>
    <row r="10" spans="1:36">
      <c r="K10" s="14"/>
    </row>
    <row r="11" spans="1:36">
      <c r="K11" s="14"/>
    </row>
    <row r="12" spans="1:36">
      <c r="K12" s="14"/>
    </row>
    <row r="13" spans="1:36">
      <c r="K13" s="14"/>
    </row>
    <row r="14" spans="1:36">
      <c r="K14" s="14"/>
    </row>
    <row r="15" spans="1:36">
      <c r="K15" s="14"/>
    </row>
    <row r="16" spans="1:36">
      <c r="K16" s="14"/>
    </row>
    <row r="17" spans="11:11">
      <c r="K17" s="14"/>
    </row>
    <row r="18" spans="11:11">
      <c r="K18" s="14"/>
    </row>
    <row r="19" spans="11:11">
      <c r="K19" s="14"/>
    </row>
    <row r="20" spans="11:11">
      <c r="K20" s="14"/>
    </row>
    <row r="21" spans="11:11">
      <c r="K21" s="14"/>
    </row>
    <row r="22" spans="11:11">
      <c r="K22" s="14"/>
    </row>
    <row r="23" spans="11:11">
      <c r="K23" s="14"/>
    </row>
    <row r="24" spans="11:11">
      <c r="K24" s="14"/>
    </row>
    <row r="25" spans="11:11">
      <c r="K25" s="14"/>
    </row>
    <row r="26" spans="11:11">
      <c r="K26" s="14"/>
    </row>
    <row r="27" spans="11:11">
      <c r="K27" s="14"/>
    </row>
    <row r="28" spans="11:11">
      <c r="K28" s="14"/>
    </row>
    <row r="29" spans="11:11">
      <c r="K29" s="14"/>
    </row>
    <row r="30" spans="11:11">
      <c r="K30" s="14"/>
    </row>
    <row r="31" spans="11:11">
      <c r="K31" s="14"/>
    </row>
    <row r="32" spans="11:11">
      <c r="K32" s="14"/>
    </row>
    <row r="33" spans="11:11">
      <c r="K33" s="14"/>
    </row>
    <row r="34" spans="11:11">
      <c r="K34" s="14"/>
    </row>
    <row r="35" spans="11:11">
      <c r="K35" s="14"/>
    </row>
    <row r="36" spans="11:11">
      <c r="K36" s="14"/>
    </row>
    <row r="37" spans="11:11">
      <c r="K37" s="14"/>
    </row>
    <row r="38" spans="11:11">
      <c r="K38" s="14"/>
    </row>
    <row r="39" spans="11:11">
      <c r="K39" s="14"/>
    </row>
    <row r="40" spans="11:11">
      <c r="K40" s="14"/>
    </row>
    <row r="41" spans="11:11">
      <c r="K41" s="14"/>
    </row>
    <row r="42" spans="11:11">
      <c r="K42" s="14"/>
    </row>
    <row r="43" spans="11:11">
      <c r="K43" s="14"/>
    </row>
    <row r="44" spans="11:11">
      <c r="K44" s="14"/>
    </row>
    <row r="45" spans="11:11">
      <c r="K45" s="14"/>
    </row>
    <row r="46" spans="11:11">
      <c r="K46" s="14"/>
    </row>
    <row r="47" spans="11:11">
      <c r="K47" s="14"/>
    </row>
    <row r="48" spans="11:11">
      <c r="K48" s="14"/>
    </row>
    <row r="49" spans="11:11">
      <c r="K49" s="14"/>
    </row>
    <row r="50" spans="11:11">
      <c r="K50" s="14"/>
    </row>
    <row r="51" spans="11:11">
      <c r="K51" s="14"/>
    </row>
    <row r="52" spans="11:11">
      <c r="K52" s="14"/>
    </row>
    <row r="53" spans="11:11">
      <c r="K53" s="14"/>
    </row>
    <row r="54" spans="11:11">
      <c r="K54" s="14"/>
    </row>
    <row r="55" spans="11:11">
      <c r="K55" s="14"/>
    </row>
    <row r="56" spans="11:11">
      <c r="K56" s="14"/>
    </row>
    <row r="57" spans="11:11">
      <c r="K57" s="14"/>
    </row>
    <row r="58" spans="11:11">
      <c r="K58" s="14"/>
    </row>
    <row r="59" spans="11:11">
      <c r="K59" s="14"/>
    </row>
    <row r="60" spans="11:11">
      <c r="K60" s="14"/>
    </row>
    <row r="61" spans="11:11">
      <c r="K61" s="14"/>
    </row>
    <row r="62" spans="11:11">
      <c r="K62" s="14"/>
    </row>
    <row r="63" spans="11:11">
      <c r="K63" s="14"/>
    </row>
    <row r="64" spans="11:11">
      <c r="K64" s="14"/>
    </row>
    <row r="65" spans="11:11">
      <c r="K65" s="14"/>
    </row>
    <row r="66" spans="11:11">
      <c r="K66" s="14"/>
    </row>
    <row r="67" spans="11:11">
      <c r="K67" s="14"/>
    </row>
    <row r="68" spans="11:11">
      <c r="K68" s="14"/>
    </row>
    <row r="69" spans="11:11">
      <c r="K69" s="14"/>
    </row>
    <row r="70" spans="11:11">
      <c r="K70" s="14"/>
    </row>
    <row r="71" spans="11:11">
      <c r="K71" s="14"/>
    </row>
    <row r="72" spans="11:11">
      <c r="K72" s="14"/>
    </row>
    <row r="73" spans="11:11">
      <c r="K73" s="14"/>
    </row>
    <row r="74" spans="11:11">
      <c r="K74" s="14"/>
    </row>
    <row r="75" spans="11:11">
      <c r="K75" s="14"/>
    </row>
    <row r="76" spans="11:11">
      <c r="K76" s="14"/>
    </row>
    <row r="77" spans="11:11">
      <c r="K77" s="14"/>
    </row>
    <row r="78" spans="11:11">
      <c r="K78" s="14"/>
    </row>
    <row r="79" spans="11:11">
      <c r="K79" s="14"/>
    </row>
    <row r="80" spans="11:11">
      <c r="K80" s="14"/>
    </row>
    <row r="81" spans="11:11">
      <c r="K81" s="14"/>
    </row>
    <row r="82" spans="11:11">
      <c r="K82" s="14"/>
    </row>
    <row r="83" spans="11:11">
      <c r="K83" s="14"/>
    </row>
    <row r="84" spans="11:11">
      <c r="K84" s="14"/>
    </row>
    <row r="85" spans="11:11">
      <c r="K85" s="14"/>
    </row>
    <row r="86" spans="11:11">
      <c r="K86" s="14"/>
    </row>
    <row r="87" spans="11:11">
      <c r="K87" s="14"/>
    </row>
    <row r="88" spans="11:11">
      <c r="K88" s="14"/>
    </row>
    <row r="89" spans="11:11">
      <c r="K89" s="14"/>
    </row>
    <row r="90" spans="11:11">
      <c r="K90" s="14"/>
    </row>
    <row r="91" spans="11:11">
      <c r="K91" s="14"/>
    </row>
    <row r="92" spans="11:11">
      <c r="K92" s="14"/>
    </row>
    <row r="93" spans="11:11">
      <c r="K93" s="14"/>
    </row>
    <row r="94" spans="11:11">
      <c r="K94" s="14"/>
    </row>
    <row r="95" spans="11:11">
      <c r="K95" s="14"/>
    </row>
    <row r="96" spans="11:11">
      <c r="K96" s="14"/>
    </row>
    <row r="97" spans="11:11">
      <c r="K97" s="14"/>
    </row>
    <row r="98" spans="11:11">
      <c r="K98" s="14"/>
    </row>
    <row r="99" spans="11:11">
      <c r="K99" s="14"/>
    </row>
    <row r="100" spans="11:11">
      <c r="K100" s="14"/>
    </row>
    <row r="101" spans="11:11">
      <c r="K101" s="14"/>
    </row>
    <row r="102" spans="11:11">
      <c r="K102" s="14"/>
    </row>
    <row r="103" spans="11:11">
      <c r="K103" s="14"/>
    </row>
    <row r="104" spans="11:11">
      <c r="K104" s="14"/>
    </row>
    <row r="105" spans="11:11">
      <c r="K105" s="14"/>
    </row>
    <row r="106" spans="11:11">
      <c r="K106" s="14"/>
    </row>
    <row r="107" spans="11:11">
      <c r="K107" s="14"/>
    </row>
    <row r="108" spans="11:11">
      <c r="K108" s="14"/>
    </row>
    <row r="109" spans="11:11">
      <c r="K109" s="14"/>
    </row>
    <row r="110" spans="11:11">
      <c r="K110" s="14"/>
    </row>
    <row r="111" spans="11:11">
      <c r="K111" s="14"/>
    </row>
    <row r="112" spans="11:11">
      <c r="K112" s="14"/>
    </row>
    <row r="113" spans="11:11">
      <c r="K113" s="14"/>
    </row>
    <row r="114" spans="11:11">
      <c r="K114" s="14"/>
    </row>
    <row r="115" spans="11:11">
      <c r="K115" s="14"/>
    </row>
    <row r="116" spans="11:11">
      <c r="K116" s="14"/>
    </row>
    <row r="117" spans="11:11">
      <c r="K117" s="14"/>
    </row>
    <row r="118" spans="11:11">
      <c r="K118" s="14"/>
    </row>
    <row r="119" spans="11:11">
      <c r="K119" s="14"/>
    </row>
    <row r="120" spans="11:11">
      <c r="K120" s="14"/>
    </row>
    <row r="121" spans="11:11">
      <c r="K121" s="14"/>
    </row>
    <row r="122" spans="11:11">
      <c r="K122" s="14"/>
    </row>
    <row r="123" spans="11:11">
      <c r="K123" s="14"/>
    </row>
    <row r="124" spans="11:11">
      <c r="K124" s="14"/>
    </row>
    <row r="125" spans="11:11">
      <c r="K125" s="14"/>
    </row>
    <row r="126" spans="11:11">
      <c r="K126" s="14"/>
    </row>
    <row r="127" spans="11:11">
      <c r="K127" s="14"/>
    </row>
    <row r="128" spans="11:11">
      <c r="K128" s="14"/>
    </row>
    <row r="129" spans="11:11">
      <c r="K129" s="14"/>
    </row>
    <row r="130" spans="11:11">
      <c r="K130" s="14"/>
    </row>
    <row r="131" spans="11:11">
      <c r="K131" s="14"/>
    </row>
    <row r="132" spans="11:11">
      <c r="K132" s="14"/>
    </row>
    <row r="133" spans="11:11">
      <c r="K133" s="14"/>
    </row>
    <row r="134" spans="11:11">
      <c r="K134" s="14"/>
    </row>
    <row r="135" spans="11:11">
      <c r="K135" s="14"/>
    </row>
    <row r="136" spans="11:11">
      <c r="K136" s="14"/>
    </row>
    <row r="137" spans="11:11">
      <c r="K137" s="14"/>
    </row>
    <row r="138" spans="11:11">
      <c r="K138" s="14"/>
    </row>
    <row r="139" spans="11:11">
      <c r="K139" s="14"/>
    </row>
    <row r="140" spans="11:11">
      <c r="K140" s="14"/>
    </row>
    <row r="141" spans="11:11">
      <c r="K141" s="14"/>
    </row>
    <row r="142" spans="11:11">
      <c r="K142" s="14"/>
    </row>
    <row r="143" spans="11:11">
      <c r="K143" s="14"/>
    </row>
    <row r="144" spans="11:11">
      <c r="K144" s="14"/>
    </row>
    <row r="145" spans="11:11">
      <c r="K145" s="14"/>
    </row>
    <row r="146" spans="11:11">
      <c r="K146" s="14"/>
    </row>
    <row r="147" spans="11:11">
      <c r="K147" s="14"/>
    </row>
    <row r="148" spans="11:11">
      <c r="K148" s="14"/>
    </row>
    <row r="149" spans="11:11">
      <c r="K149" s="14"/>
    </row>
    <row r="150" spans="11:11">
      <c r="K150" s="14"/>
    </row>
    <row r="151" spans="11:11">
      <c r="K151" s="14"/>
    </row>
    <row r="152" spans="11:11">
      <c r="K152" s="14"/>
    </row>
    <row r="153" spans="11:11">
      <c r="K153" s="14"/>
    </row>
    <row r="154" spans="11:11">
      <c r="K154" s="14"/>
    </row>
    <row r="155" spans="11:11">
      <c r="K155" s="14"/>
    </row>
    <row r="156" spans="11:11">
      <c r="K156" s="14"/>
    </row>
    <row r="157" spans="11:11">
      <c r="K157" s="14"/>
    </row>
    <row r="158" spans="11:11">
      <c r="K158" s="14"/>
    </row>
    <row r="159" spans="11:11">
      <c r="K159" s="14"/>
    </row>
    <row r="160" spans="11:11">
      <c r="K160" s="14"/>
    </row>
    <row r="161" spans="11:11">
      <c r="K161" s="14"/>
    </row>
    <row r="162" spans="11:11">
      <c r="K162" s="14"/>
    </row>
    <row r="163" spans="11:11">
      <c r="K163" s="14"/>
    </row>
    <row r="164" spans="11:11">
      <c r="K164" s="14"/>
    </row>
    <row r="165" spans="11:11">
      <c r="K165" s="14"/>
    </row>
    <row r="166" spans="11:11">
      <c r="K166" s="14"/>
    </row>
    <row r="167" spans="11:11">
      <c r="K167" s="14"/>
    </row>
    <row r="168" spans="11:11">
      <c r="K168" s="14"/>
    </row>
    <row r="169" spans="11:11">
      <c r="K169" s="14"/>
    </row>
    <row r="170" spans="11:11">
      <c r="K170" s="14"/>
    </row>
    <row r="171" spans="11:11">
      <c r="K171" s="14"/>
    </row>
    <row r="172" spans="11:11">
      <c r="K172" s="14"/>
    </row>
    <row r="173" spans="11:11">
      <c r="K173" s="14"/>
    </row>
    <row r="174" spans="11:11">
      <c r="K174" s="14"/>
    </row>
    <row r="175" spans="11:11">
      <c r="K175" s="14"/>
    </row>
    <row r="176" spans="11:11">
      <c r="K176" s="14"/>
    </row>
    <row r="177" spans="11:11">
      <c r="K177" s="14"/>
    </row>
    <row r="178" spans="11:11">
      <c r="K178" s="14"/>
    </row>
    <row r="179" spans="11:11">
      <c r="K179" s="14"/>
    </row>
    <row r="180" spans="11:11">
      <c r="K180" s="14"/>
    </row>
    <row r="181" spans="11:11">
      <c r="K181" s="14"/>
    </row>
    <row r="182" spans="11:11">
      <c r="K182" s="14"/>
    </row>
    <row r="183" spans="11:11">
      <c r="K183" s="14"/>
    </row>
    <row r="184" spans="11:11">
      <c r="K184" s="14"/>
    </row>
    <row r="185" spans="11:11">
      <c r="K185" s="14"/>
    </row>
    <row r="186" spans="11:11">
      <c r="K186" s="14"/>
    </row>
    <row r="187" spans="11:11">
      <c r="K187" s="14"/>
    </row>
    <row r="188" spans="11:11">
      <c r="K188" s="14"/>
    </row>
    <row r="189" spans="11:11">
      <c r="K189" s="14"/>
    </row>
    <row r="190" spans="11:11">
      <c r="K190" s="14"/>
    </row>
    <row r="191" spans="11:11">
      <c r="K191" s="14"/>
    </row>
    <row r="192" spans="11:11">
      <c r="K192" s="14"/>
    </row>
    <row r="193" spans="11:11">
      <c r="K193" s="14"/>
    </row>
    <row r="194" spans="11:11">
      <c r="K194" s="14"/>
    </row>
    <row r="195" spans="11:11">
      <c r="K195" s="14"/>
    </row>
    <row r="196" spans="11:11">
      <c r="K196" s="14"/>
    </row>
    <row r="197" spans="11:11">
      <c r="K197" s="14"/>
    </row>
    <row r="198" spans="11:11">
      <c r="K198" s="14"/>
    </row>
    <row r="199" spans="11:11">
      <c r="K199" s="14"/>
    </row>
    <row r="200" spans="11:11">
      <c r="K200" s="14"/>
    </row>
  </sheetData>
  <mergeCells count="21">
    <mergeCell ref="O1:R2"/>
    <mergeCell ref="AJ1:AJ3"/>
    <mergeCell ref="AC1:AH2"/>
    <mergeCell ref="F1:K1"/>
    <mergeCell ref="G2:G3"/>
    <mergeCell ref="H2:H3"/>
    <mergeCell ref="I2:I3"/>
    <mergeCell ref="J2:J3"/>
    <mergeCell ref="K2:K3"/>
    <mergeCell ref="L1:L3"/>
    <mergeCell ref="M1:M3"/>
    <mergeCell ref="N1:N3"/>
    <mergeCell ref="S1:AB1"/>
    <mergeCell ref="S2:AB2"/>
    <mergeCell ref="AI1:AI3"/>
    <mergeCell ref="A1:A3"/>
    <mergeCell ref="B1:B3"/>
    <mergeCell ref="D1:D3"/>
    <mergeCell ref="E1:E3"/>
    <mergeCell ref="F2:F3"/>
    <mergeCell ref="C1:C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700-000000000000}">
          <x14:formula1>
            <xm:f>'Ref.'!$A$38:$A$39</xm:f>
          </x14:formula1>
          <xm:sqref>D4:D200</xm:sqref>
        </x14:dataValidation>
        <x14:dataValidation type="list" allowBlank="1" showInputMessage="1" showErrorMessage="1" xr:uid="{00000000-0002-0000-0700-000001000000}">
          <x14:formula1>
            <xm:f>'Ref.'!$A$41:$A$48</xm:f>
          </x14:formula1>
          <xm:sqref>E4:E200</xm:sqref>
        </x14:dataValidation>
        <x14:dataValidation type="list" allowBlank="1" showInputMessage="1" showErrorMessage="1" xr:uid="{00000000-0002-0000-0700-000002000000}">
          <x14:formula1>
            <xm:f>'Ref.'!$I$4:$I$5</xm:f>
          </x14:formula1>
          <xm:sqref>O4:R200 L4:L200 AC4:AH200</xm:sqref>
        </x14:dataValidation>
        <x14:dataValidation type="list" allowBlank="1" showInputMessage="1" showErrorMessage="1" xr:uid="{00000000-0002-0000-0700-000003000000}">
          <x14:formula1>
            <xm:f>'Ref.'!$P$2:$P$3</xm:f>
          </x14:formula1>
          <xm:sqref>S4:S200</xm:sqref>
        </x14:dataValidation>
        <x14:dataValidation type="list" allowBlank="1" showInputMessage="1" showErrorMessage="1" xr:uid="{00000000-0002-0000-0700-000004000000}">
          <x14:formula1>
            <xm:f>'Ref.'!$Q$2:$Q$3</xm:f>
          </x14:formula1>
          <xm:sqref>T4:T200</xm:sqref>
        </x14:dataValidation>
        <x14:dataValidation type="list" allowBlank="1" showInputMessage="1" showErrorMessage="1" xr:uid="{00000000-0002-0000-0700-000005000000}">
          <x14:formula1>
            <xm:f>'Ref.'!$R$2:$R$3</xm:f>
          </x14:formula1>
          <xm:sqref>U4:U200</xm:sqref>
        </x14:dataValidation>
        <x14:dataValidation type="list" allowBlank="1" showInputMessage="1" showErrorMessage="1" xr:uid="{00000000-0002-0000-0700-000006000000}">
          <x14:formula1>
            <xm:f>'Ref.'!$S$2:$S$3</xm:f>
          </x14:formula1>
          <xm:sqref>V4:AB200</xm:sqref>
        </x14:dataValidation>
        <x14:dataValidation type="list" allowBlank="1" showInputMessage="1" showErrorMessage="1" xr:uid="{13E5A634-12D5-4B79-A707-CCA9CB6B5568}">
          <x14:formula1>
            <xm:f>'Ref.'!$AG$2:$AG$4</xm:f>
          </x14:formula1>
          <xm:sqref>C4:C1048576</xm:sqref>
        </x14:dataValidation>
        <x14:dataValidation type="list" allowBlank="1" showInputMessage="1" showErrorMessage="1" xr:uid="{00000000-0002-0000-0700-00000C000000}">
          <x14:formula1>
            <xm:f>'Ref.'!$A$66:$A$134</xm:f>
          </x14:formula1>
          <xm:sqref>A4:A200</xm:sqref>
        </x14:dataValidation>
        <x14:dataValidation type="list" allowBlank="1" showInputMessage="1" showErrorMessage="1" xr:uid="{A5942980-CF02-4521-B003-F65FA2659D43}">
          <x14:formula1>
            <xm:f>'Ref.'!$AB$2:$AB$3</xm:f>
          </x14:formula1>
          <xm:sqref>F4:K1048576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1:T3"/>
  <sheetViews>
    <sheetView zoomScaleNormal="100" workbookViewId="0">
      <pane ySplit="3" topLeftCell="A4" activePane="bottomLeft" state="frozen"/>
      <selection pane="bottomLeft" activeCell="E5" sqref="E5"/>
    </sheetView>
  </sheetViews>
  <sheetFormatPr defaultColWidth="26.90625" defaultRowHeight="14.5"/>
  <cols>
    <col min="1" max="1" width="26.90625" style="22"/>
    <col min="2" max="2" width="26.90625" style="14"/>
    <col min="3" max="3" width="26.90625" style="23"/>
    <col min="4" max="4" width="26.90625" style="14"/>
    <col min="5" max="5" width="26.90625" style="22"/>
    <col min="6" max="6" width="26.90625" style="14"/>
    <col min="7" max="7" width="26.90625" style="23"/>
    <col min="8" max="8" width="26.90625" style="22"/>
    <col min="9" max="16" width="26.90625" style="14"/>
    <col min="17" max="17" width="26.90625" style="23"/>
    <col min="18" max="18" width="26.90625" style="14"/>
    <col min="19" max="20" width="26.90625" style="23"/>
    <col min="21" max="16384" width="26.90625" style="14"/>
  </cols>
  <sheetData>
    <row r="1" spans="1:20" ht="15" customHeight="1">
      <c r="A1" s="383" t="s">
        <v>49</v>
      </c>
      <c r="B1" s="416" t="s">
        <v>257</v>
      </c>
      <c r="C1" s="385" t="s">
        <v>258</v>
      </c>
      <c r="D1" s="373" t="s">
        <v>106</v>
      </c>
      <c r="E1" s="404" t="s">
        <v>259</v>
      </c>
      <c r="F1" s="416" t="s">
        <v>260</v>
      </c>
      <c r="G1" s="385" t="s">
        <v>261</v>
      </c>
      <c r="H1" s="404" t="s">
        <v>262</v>
      </c>
      <c r="I1" s="409"/>
      <c r="J1" s="409"/>
      <c r="K1" s="409"/>
      <c r="L1" s="409"/>
      <c r="M1" s="409"/>
      <c r="N1" s="409"/>
      <c r="O1" s="409"/>
      <c r="P1" s="409"/>
      <c r="Q1" s="410"/>
      <c r="R1" s="390" t="s">
        <v>263</v>
      </c>
      <c r="S1" s="325"/>
      <c r="T1" s="410" t="s">
        <v>264</v>
      </c>
    </row>
    <row r="2" spans="1:20" ht="15" customHeight="1">
      <c r="A2" s="384"/>
      <c r="B2" s="417"/>
      <c r="C2" s="386"/>
      <c r="D2" s="374"/>
      <c r="E2" s="405"/>
      <c r="F2" s="417"/>
      <c r="G2" s="386"/>
      <c r="H2" s="411"/>
      <c r="I2" s="412"/>
      <c r="J2" s="412"/>
      <c r="K2" s="412"/>
      <c r="L2" s="412"/>
      <c r="M2" s="412"/>
      <c r="N2" s="412"/>
      <c r="O2" s="412"/>
      <c r="P2" s="412"/>
      <c r="Q2" s="413"/>
      <c r="R2" s="391"/>
      <c r="S2" s="326"/>
      <c r="T2" s="414"/>
    </row>
    <row r="3" spans="1:20" ht="188.15" customHeight="1" thickBot="1">
      <c r="A3" s="328"/>
      <c r="B3" s="398"/>
      <c r="C3" s="387"/>
      <c r="D3" s="375"/>
      <c r="E3" s="406"/>
      <c r="F3" s="398"/>
      <c r="G3" s="387"/>
      <c r="H3" s="61" t="s">
        <v>88</v>
      </c>
      <c r="I3" s="61" t="s">
        <v>469</v>
      </c>
      <c r="J3" s="61" t="s">
        <v>90</v>
      </c>
      <c r="K3" s="61" t="s">
        <v>91</v>
      </c>
      <c r="L3" s="61" t="s">
        <v>92</v>
      </c>
      <c r="M3" s="61" t="s">
        <v>93</v>
      </c>
      <c r="N3" s="61" t="s">
        <v>94</v>
      </c>
      <c r="O3" s="61" t="s">
        <v>95</v>
      </c>
      <c r="P3" s="61" t="s">
        <v>96</v>
      </c>
      <c r="Q3" s="63" t="s">
        <v>97</v>
      </c>
      <c r="R3" s="64" t="s">
        <v>265</v>
      </c>
      <c r="S3" s="62" t="s">
        <v>266</v>
      </c>
      <c r="T3" s="415"/>
    </row>
  </sheetData>
  <dataConsolidate/>
  <mergeCells count="10">
    <mergeCell ref="H1:Q2"/>
    <mergeCell ref="T1:T3"/>
    <mergeCell ref="R1:S2"/>
    <mergeCell ref="A1:A3"/>
    <mergeCell ref="B1:B3"/>
    <mergeCell ref="C1:C3"/>
    <mergeCell ref="E1:E3"/>
    <mergeCell ref="F1:F3"/>
    <mergeCell ref="G1:G3"/>
    <mergeCell ref="D1:D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800-000001000000}">
          <x14:formula1>
            <xm:f>'Ref.'!$A$55:$A$59</xm:f>
          </x14:formula1>
          <xm:sqref>E4:E19915</xm:sqref>
        </x14:dataValidation>
        <x14:dataValidation type="list" allowBlank="1" showInputMessage="1" showErrorMessage="1" xr:uid="{00000000-0002-0000-0800-000002000000}">
          <x14:formula1>
            <xm:f>'Ref.'!$Y$2:$Y$3</xm:f>
          </x14:formula1>
          <xm:sqref>Q4:R19915</xm:sqref>
        </x14:dataValidation>
        <x14:dataValidation type="list" allowBlank="1" showInputMessage="1" showErrorMessage="1" xr:uid="{00000000-0002-0000-0800-000003000000}">
          <x14:formula1>
            <xm:f>'Ref.'!$X$2:$X$3</xm:f>
          </x14:formula1>
          <xm:sqref>P4:P19915</xm:sqref>
        </x14:dataValidation>
        <x14:dataValidation type="list" allowBlank="1" showInputMessage="1" showErrorMessage="1" xr:uid="{00000000-0002-0000-0800-000004000000}">
          <x14:formula1>
            <xm:f>'Ref.'!$W$2:$W$3</xm:f>
          </x14:formula1>
          <xm:sqref>O4:O19915</xm:sqref>
        </x14:dataValidation>
        <x14:dataValidation type="list" allowBlank="1" showInputMessage="1" showErrorMessage="1" xr:uid="{00000000-0002-0000-0800-000005000000}">
          <x14:formula1>
            <xm:f>'Ref.'!$V$2:$V$3</xm:f>
          </x14:formula1>
          <xm:sqref>N4:N19915</xm:sqref>
        </x14:dataValidation>
        <x14:dataValidation type="list" allowBlank="1" showInputMessage="1" showErrorMessage="1" xr:uid="{00000000-0002-0000-0800-000006000000}">
          <x14:formula1>
            <xm:f>'Ref.'!$U$2:$U$3</xm:f>
          </x14:formula1>
          <xm:sqref>M4:M19915</xm:sqref>
        </x14:dataValidation>
        <x14:dataValidation type="list" allowBlank="1" showInputMessage="1" showErrorMessage="1" xr:uid="{00000000-0002-0000-0800-000007000000}">
          <x14:formula1>
            <xm:f>'Ref.'!$T$2:$T$3</xm:f>
          </x14:formula1>
          <xm:sqref>L4:L19915</xm:sqref>
        </x14:dataValidation>
        <x14:dataValidation type="list" allowBlank="1" showInputMessage="1" showErrorMessage="1" xr:uid="{00000000-0002-0000-0800-000008000000}">
          <x14:formula1>
            <xm:f>'Ref.'!$S$2:$S$3</xm:f>
          </x14:formula1>
          <xm:sqref>K4:K19915</xm:sqref>
        </x14:dataValidation>
        <x14:dataValidation type="list" allowBlank="1" showInputMessage="1" showErrorMessage="1" xr:uid="{00000000-0002-0000-0800-000009000000}">
          <x14:formula1>
            <xm:f>'Ref.'!$R$2:$R$3</xm:f>
          </x14:formula1>
          <xm:sqref>J4:J19915</xm:sqref>
        </x14:dataValidation>
        <x14:dataValidation type="list" allowBlank="1" showInputMessage="1" showErrorMessage="1" xr:uid="{00000000-0002-0000-0800-00000A000000}">
          <x14:formula1>
            <xm:f>'Ref.'!$Q$2:$Q$3</xm:f>
          </x14:formula1>
          <xm:sqref>I4:I19915</xm:sqref>
        </x14:dataValidation>
        <x14:dataValidation type="list" allowBlank="1" showInputMessage="1" showErrorMessage="1" xr:uid="{00000000-0002-0000-0800-00000B000000}">
          <x14:formula1>
            <xm:f>'Ref.'!$P$2:$P$3</xm:f>
          </x14:formula1>
          <xm:sqref>H4:H19915</xm:sqref>
        </x14:dataValidation>
        <x14:dataValidation type="list" allowBlank="1" showInputMessage="1" showErrorMessage="1" xr:uid="{98F76DC1-49CB-4B28-A14C-6AAEB7110C03}">
          <x14:formula1>
            <xm:f>'Ref.'!$AF$2:$AF$4</xm:f>
          </x14:formula1>
          <xm:sqref>D212:D1048576 D5:D29</xm:sqref>
        </x14:dataValidation>
        <x14:dataValidation type="list" allowBlank="1" showInputMessage="1" showErrorMessage="1" xr:uid="{00000000-0002-0000-0800-00000D000000}">
          <x14:formula1>
            <xm:f>'Ref.'!$A$66:$A$134</xm:f>
          </x14:formula1>
          <xm:sqref>A4:A13026</xm:sqref>
        </x14:dataValidation>
        <x14:dataValidation type="list" allowBlank="1" showInputMessage="1" showErrorMessage="1" xr:uid="{52C4C7B9-D134-4887-A5E8-2DC820E43BB1}">
          <x14:formula1>
            <xm:f>'Ref.'!$A$16:$A$27</xm:f>
          </x14:formula1>
          <xm:sqref>S4:S1048576</xm:sqref>
        </x14:dataValidation>
        <x14:dataValidation type="list" allowBlank="1" showInputMessage="1" showErrorMessage="1" xr:uid="{1D5F0452-A37F-4332-B40D-E4662EB640A2}">
          <x14:formula1>
            <xm:f>'Ref.'!$A$51:$A$53</xm:f>
          </x14:formula1>
          <xm:sqref>B4:B1048576</xm:sqref>
        </x14:dataValidation>
        <x14:dataValidation type="list" allowBlank="1" showInputMessage="1" showErrorMessage="1" xr:uid="{9C780534-7A90-40AE-B345-12278183C58B}">
          <x14:formula1>
            <xm:f>'Ref.'!$AH$2:$AH$5</xm:f>
          </x14:formula1>
          <xm:sqref>D30:D211</xm:sqref>
        </x14:dataValidation>
        <x14:dataValidation type="list" allowBlank="1" showInputMessage="1" showErrorMessage="1" xr:uid="{1B88CAE0-7C74-4530-97B8-481CA0C3620E}">
          <x14:formula1>
            <xm:f>'Ref.'!$AI$2:$AI$5</xm:f>
          </x14:formula1>
          <xm:sqref>D4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K5"/>
  <sheetViews>
    <sheetView topLeftCell="E1" workbookViewId="0">
      <pane ySplit="4" topLeftCell="A5" activePane="bottomLeft" state="frozen"/>
      <selection pane="bottomLeft" activeCell="J2" sqref="J2:J4"/>
    </sheetView>
  </sheetViews>
  <sheetFormatPr defaultColWidth="8.90625" defaultRowHeight="14.5"/>
  <cols>
    <col min="1" max="1" width="20.08984375" style="14" customWidth="1"/>
    <col min="2" max="2" width="18.08984375" style="14" bestFit="1" customWidth="1"/>
    <col min="3" max="3" width="22.90625" style="14" customWidth="1"/>
    <col min="4" max="4" width="28" style="14" customWidth="1"/>
    <col min="5" max="5" width="23.08984375" style="14" customWidth="1"/>
    <col min="6" max="6" width="26" style="14" customWidth="1"/>
    <col min="7" max="7" width="23.08984375" style="14" customWidth="1"/>
    <col min="8" max="8" width="20" style="14" customWidth="1"/>
    <col min="9" max="9" width="29.08984375" style="14" customWidth="1"/>
    <col min="10" max="10" width="26.90625" style="14" customWidth="1"/>
    <col min="11" max="11" width="28.54296875" style="14" customWidth="1"/>
    <col min="12" max="16384" width="8.90625" style="14"/>
  </cols>
  <sheetData>
    <row r="1" spans="1:11" ht="15" thickBot="1">
      <c r="A1" s="420" t="s">
        <v>49</v>
      </c>
      <c r="B1" s="423" t="s">
        <v>267</v>
      </c>
      <c r="C1" s="179"/>
      <c r="D1" s="325"/>
      <c r="E1" s="423" t="s">
        <v>268</v>
      </c>
      <c r="F1" s="179"/>
      <c r="G1" s="325"/>
      <c r="H1" s="404" t="s">
        <v>269</v>
      </c>
      <c r="I1" s="424" t="s">
        <v>270</v>
      </c>
      <c r="J1" s="425"/>
      <c r="K1" s="65"/>
    </row>
    <row r="2" spans="1:11">
      <c r="A2" s="421"/>
      <c r="B2" s="418" t="s">
        <v>271</v>
      </c>
      <c r="C2" s="180" t="s">
        <v>272</v>
      </c>
      <c r="D2" s="326" t="s">
        <v>273</v>
      </c>
      <c r="E2" s="418" t="s">
        <v>274</v>
      </c>
      <c r="F2" s="180" t="s">
        <v>275</v>
      </c>
      <c r="G2" s="326" t="s">
        <v>276</v>
      </c>
      <c r="H2" s="405"/>
      <c r="I2" s="404" t="s">
        <v>277</v>
      </c>
      <c r="J2" s="410" t="s">
        <v>497</v>
      </c>
    </row>
    <row r="3" spans="1:11">
      <c r="A3" s="421"/>
      <c r="B3" s="418"/>
      <c r="C3" s="180"/>
      <c r="D3" s="326"/>
      <c r="E3" s="418"/>
      <c r="F3" s="180"/>
      <c r="G3" s="326"/>
      <c r="H3" s="405"/>
      <c r="I3" s="405"/>
      <c r="J3" s="414"/>
    </row>
    <row r="4" spans="1:11" ht="32.4" customHeight="1" thickBot="1">
      <c r="A4" s="422"/>
      <c r="B4" s="419"/>
      <c r="C4" s="181"/>
      <c r="D4" s="323"/>
      <c r="E4" s="419"/>
      <c r="F4" s="181"/>
      <c r="G4" s="323"/>
      <c r="H4" s="406"/>
      <c r="I4" s="406"/>
      <c r="J4" s="415"/>
    </row>
    <row r="5" spans="1:11" ht="15" thickBot="1">
      <c r="A5" s="57"/>
      <c r="B5" s="53"/>
      <c r="C5" s="53"/>
      <c r="D5" s="54"/>
      <c r="E5" s="53"/>
      <c r="F5" s="53"/>
      <c r="G5" s="54"/>
      <c r="H5" s="52"/>
      <c r="I5" s="52"/>
      <c r="J5" s="54"/>
    </row>
  </sheetData>
  <mergeCells count="13">
    <mergeCell ref="I2:I4"/>
    <mergeCell ref="J2:J4"/>
    <mergeCell ref="E1:G1"/>
    <mergeCell ref="E2:E4"/>
    <mergeCell ref="F2:F4"/>
    <mergeCell ref="G2:G4"/>
    <mergeCell ref="H1:H4"/>
    <mergeCell ref="I1:J1"/>
    <mergeCell ref="B2:B4"/>
    <mergeCell ref="C2:C4"/>
    <mergeCell ref="D2:D4"/>
    <mergeCell ref="A1:A4"/>
    <mergeCell ref="B1:D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'Ref.'!$A$66:$A$134</xm:f>
          </x14:formula1>
          <xm:sqref>A5:A809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F14744"/>
  <sheetViews>
    <sheetView workbookViewId="0">
      <pane ySplit="3" topLeftCell="A4" activePane="bottomLeft" state="frozen"/>
      <selection pane="bottomLeft" activeCell="D6" sqref="D6"/>
    </sheetView>
  </sheetViews>
  <sheetFormatPr defaultColWidth="33.54296875" defaultRowHeight="14.5"/>
  <cols>
    <col min="1" max="1" width="33.54296875" style="24"/>
    <col min="2" max="2" width="33.54296875" style="22"/>
    <col min="3" max="3" width="29.90625" style="23" customWidth="1"/>
    <col min="4" max="4" width="33.54296875" style="14"/>
    <col min="5" max="5" width="33.54296875" style="22"/>
    <col min="6" max="6" width="33.54296875" style="23"/>
    <col min="7" max="16384" width="33.54296875" style="14"/>
  </cols>
  <sheetData>
    <row r="1" spans="1:6">
      <c r="A1" s="373" t="s">
        <v>191</v>
      </c>
      <c r="B1" s="404" t="s">
        <v>278</v>
      </c>
      <c r="C1" s="385" t="s">
        <v>279</v>
      </c>
      <c r="D1" s="373" t="s">
        <v>280</v>
      </c>
      <c r="E1" s="404" t="s">
        <v>281</v>
      </c>
      <c r="F1" s="385" t="s">
        <v>282</v>
      </c>
    </row>
    <row r="2" spans="1:6">
      <c r="A2" s="374"/>
      <c r="B2" s="405"/>
      <c r="C2" s="386"/>
      <c r="D2" s="374"/>
      <c r="E2" s="405"/>
      <c r="F2" s="386"/>
    </row>
    <row r="3" spans="1:6" ht="162" customHeight="1" thickBot="1">
      <c r="A3" s="375"/>
      <c r="B3" s="406"/>
      <c r="C3" s="387"/>
      <c r="D3" s="375"/>
      <c r="E3" s="406"/>
      <c r="F3" s="387"/>
    </row>
    <row r="4" spans="1:6">
      <c r="A4" s="22"/>
    </row>
    <row r="5" spans="1:6">
      <c r="A5" s="22"/>
    </row>
    <row r="6" spans="1:6">
      <c r="A6" s="22"/>
    </row>
    <row r="7" spans="1:6">
      <c r="A7" s="22"/>
    </row>
    <row r="8" spans="1:6">
      <c r="A8" s="22"/>
    </row>
    <row r="9" spans="1:6">
      <c r="A9" s="22"/>
    </row>
    <row r="10" spans="1:6">
      <c r="A10" s="22"/>
    </row>
    <row r="11" spans="1:6">
      <c r="A11" s="22"/>
    </row>
    <row r="12" spans="1:6">
      <c r="A12" s="22"/>
    </row>
    <row r="13" spans="1:6">
      <c r="A13" s="22"/>
    </row>
    <row r="14" spans="1:6">
      <c r="A14" s="22"/>
    </row>
    <row r="15" spans="1:6">
      <c r="A15" s="22"/>
    </row>
    <row r="16" spans="1:6">
      <c r="A16" s="22"/>
    </row>
    <row r="17" spans="1:1">
      <c r="A17" s="22"/>
    </row>
    <row r="18" spans="1:1">
      <c r="A18" s="22"/>
    </row>
    <row r="19" spans="1:1">
      <c r="A19" s="22"/>
    </row>
    <row r="20" spans="1:1">
      <c r="A20" s="22"/>
    </row>
    <row r="21" spans="1:1">
      <c r="A21" s="22"/>
    </row>
    <row r="22" spans="1:1">
      <c r="A22" s="22"/>
    </row>
    <row r="23" spans="1:1">
      <c r="A23" s="22"/>
    </row>
    <row r="24" spans="1:1">
      <c r="A24" s="22"/>
    </row>
    <row r="25" spans="1:1">
      <c r="A25" s="22"/>
    </row>
    <row r="26" spans="1:1">
      <c r="A26" s="22"/>
    </row>
    <row r="27" spans="1:1">
      <c r="A27" s="22"/>
    </row>
    <row r="28" spans="1:1">
      <c r="A28" s="22"/>
    </row>
    <row r="29" spans="1:1">
      <c r="A29" s="22"/>
    </row>
    <row r="30" spans="1:1">
      <c r="A30" s="22"/>
    </row>
    <row r="31" spans="1:1">
      <c r="A31" s="22"/>
    </row>
    <row r="32" spans="1:1">
      <c r="A32" s="22"/>
    </row>
    <row r="33" spans="1:1">
      <c r="A33" s="22"/>
    </row>
    <row r="34" spans="1:1">
      <c r="A34" s="22"/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  <row r="62" spans="1:1">
      <c r="A62" s="22"/>
    </row>
    <row r="63" spans="1:1">
      <c r="A63" s="22"/>
    </row>
    <row r="64" spans="1:1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  <row r="86" spans="1:1">
      <c r="A86" s="22"/>
    </row>
    <row r="87" spans="1:1">
      <c r="A87" s="22"/>
    </row>
    <row r="88" spans="1:1">
      <c r="A88" s="22"/>
    </row>
    <row r="89" spans="1:1">
      <c r="A89" s="22"/>
    </row>
    <row r="90" spans="1:1">
      <c r="A90" s="22"/>
    </row>
    <row r="91" spans="1:1">
      <c r="A91" s="22"/>
    </row>
    <row r="92" spans="1:1">
      <c r="A92" s="22"/>
    </row>
    <row r="93" spans="1:1">
      <c r="A93" s="22"/>
    </row>
    <row r="94" spans="1:1">
      <c r="A94" s="22"/>
    </row>
    <row r="95" spans="1:1">
      <c r="A95" s="22"/>
    </row>
    <row r="96" spans="1: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  <row r="107" spans="1:1">
      <c r="A107" s="22"/>
    </row>
    <row r="108" spans="1:1">
      <c r="A108" s="22"/>
    </row>
    <row r="109" spans="1:1">
      <c r="A109" s="22"/>
    </row>
    <row r="110" spans="1:1">
      <c r="A110" s="22"/>
    </row>
    <row r="111" spans="1:1">
      <c r="A111" s="22"/>
    </row>
    <row r="112" spans="1:1">
      <c r="A112" s="22"/>
    </row>
    <row r="113" spans="1:1">
      <c r="A113" s="22"/>
    </row>
    <row r="114" spans="1:1">
      <c r="A114" s="22"/>
    </row>
    <row r="115" spans="1:1">
      <c r="A115" s="22"/>
    </row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  <row r="151" spans="1:1">
      <c r="A151" s="22"/>
    </row>
    <row r="152" spans="1:1">
      <c r="A152" s="22"/>
    </row>
    <row r="153" spans="1:1">
      <c r="A153" s="22"/>
    </row>
    <row r="154" spans="1:1">
      <c r="A154" s="22"/>
    </row>
    <row r="155" spans="1:1">
      <c r="A155" s="22"/>
    </row>
    <row r="156" spans="1:1">
      <c r="A156" s="22"/>
    </row>
    <row r="157" spans="1:1">
      <c r="A157" s="22"/>
    </row>
    <row r="158" spans="1:1">
      <c r="A158" s="22"/>
    </row>
    <row r="159" spans="1:1">
      <c r="A159" s="22"/>
    </row>
    <row r="160" spans="1:1">
      <c r="A160" s="22"/>
    </row>
    <row r="161" spans="1:1">
      <c r="A161" s="22"/>
    </row>
    <row r="162" spans="1:1">
      <c r="A162" s="22"/>
    </row>
    <row r="163" spans="1:1">
      <c r="A163" s="22"/>
    </row>
    <row r="164" spans="1:1">
      <c r="A164" s="22"/>
    </row>
    <row r="165" spans="1:1">
      <c r="A165" s="22"/>
    </row>
    <row r="166" spans="1:1">
      <c r="A166" s="22"/>
    </row>
    <row r="167" spans="1:1">
      <c r="A167" s="22"/>
    </row>
    <row r="168" spans="1:1">
      <c r="A168" s="22"/>
    </row>
    <row r="169" spans="1:1">
      <c r="A169" s="22"/>
    </row>
    <row r="170" spans="1:1">
      <c r="A170" s="22"/>
    </row>
    <row r="171" spans="1:1">
      <c r="A171" s="22"/>
    </row>
    <row r="172" spans="1:1">
      <c r="A172" s="22"/>
    </row>
    <row r="173" spans="1:1">
      <c r="A173" s="22"/>
    </row>
    <row r="174" spans="1:1">
      <c r="A174" s="22"/>
    </row>
    <row r="175" spans="1:1">
      <c r="A175" s="22"/>
    </row>
    <row r="176" spans="1:1">
      <c r="A176" s="22"/>
    </row>
    <row r="177" spans="1:1">
      <c r="A177" s="22"/>
    </row>
    <row r="178" spans="1:1">
      <c r="A178" s="22"/>
    </row>
    <row r="179" spans="1:1">
      <c r="A179" s="22"/>
    </row>
    <row r="180" spans="1:1">
      <c r="A180" s="22"/>
    </row>
    <row r="181" spans="1:1">
      <c r="A181" s="22"/>
    </row>
    <row r="182" spans="1:1">
      <c r="A182" s="22"/>
    </row>
    <row r="183" spans="1:1">
      <c r="A183" s="22"/>
    </row>
    <row r="184" spans="1:1">
      <c r="A184" s="22"/>
    </row>
    <row r="185" spans="1:1">
      <c r="A185" s="22"/>
    </row>
    <row r="186" spans="1:1">
      <c r="A186" s="22"/>
    </row>
    <row r="187" spans="1:1">
      <c r="A187" s="22"/>
    </row>
    <row r="188" spans="1:1">
      <c r="A188" s="22"/>
    </row>
    <row r="189" spans="1:1">
      <c r="A189" s="22"/>
    </row>
    <row r="190" spans="1:1">
      <c r="A190" s="22"/>
    </row>
    <row r="191" spans="1:1">
      <c r="A191" s="22"/>
    </row>
    <row r="192" spans="1:1">
      <c r="A192" s="22"/>
    </row>
    <row r="193" spans="1:1">
      <c r="A193" s="22"/>
    </row>
    <row r="194" spans="1:1">
      <c r="A194" s="22"/>
    </row>
    <row r="195" spans="1:1">
      <c r="A195" s="22"/>
    </row>
    <row r="196" spans="1:1">
      <c r="A196" s="22"/>
    </row>
    <row r="197" spans="1:1">
      <c r="A197" s="22"/>
    </row>
    <row r="198" spans="1:1">
      <c r="A198" s="22"/>
    </row>
    <row r="199" spans="1:1">
      <c r="A199" s="22"/>
    </row>
    <row r="200" spans="1:1">
      <c r="A200" s="22"/>
    </row>
    <row r="201" spans="1:1">
      <c r="A201" s="22"/>
    </row>
    <row r="202" spans="1:1">
      <c r="A202" s="22"/>
    </row>
    <row r="203" spans="1:1">
      <c r="A203" s="22"/>
    </row>
    <row r="204" spans="1:1">
      <c r="A204" s="22"/>
    </row>
    <row r="205" spans="1:1">
      <c r="A205" s="22"/>
    </row>
    <row r="206" spans="1:1">
      <c r="A206" s="22"/>
    </row>
    <row r="207" spans="1:1">
      <c r="A207" s="22"/>
    </row>
    <row r="208" spans="1:1">
      <c r="A208" s="22"/>
    </row>
    <row r="209" spans="1:1">
      <c r="A209" s="22"/>
    </row>
    <row r="210" spans="1:1">
      <c r="A210" s="22"/>
    </row>
    <row r="211" spans="1:1">
      <c r="A211" s="22"/>
    </row>
    <row r="212" spans="1:1">
      <c r="A212" s="22"/>
    </row>
    <row r="213" spans="1:1">
      <c r="A213" s="22"/>
    </row>
    <row r="214" spans="1:1">
      <c r="A214" s="22"/>
    </row>
    <row r="215" spans="1:1">
      <c r="A215" s="22"/>
    </row>
    <row r="216" spans="1:1">
      <c r="A216" s="22"/>
    </row>
    <row r="217" spans="1:1">
      <c r="A217" s="22"/>
    </row>
    <row r="218" spans="1:1">
      <c r="A218" s="22"/>
    </row>
    <row r="219" spans="1:1">
      <c r="A219" s="22"/>
    </row>
    <row r="220" spans="1:1">
      <c r="A220" s="22"/>
    </row>
    <row r="221" spans="1:1">
      <c r="A221" s="22"/>
    </row>
    <row r="222" spans="1:1">
      <c r="A222" s="22"/>
    </row>
    <row r="223" spans="1:1">
      <c r="A223" s="22"/>
    </row>
    <row r="224" spans="1:1">
      <c r="A224" s="22"/>
    </row>
    <row r="225" spans="1:1">
      <c r="A225" s="22"/>
    </row>
    <row r="226" spans="1:1">
      <c r="A226" s="22"/>
    </row>
    <row r="227" spans="1:1">
      <c r="A227" s="22"/>
    </row>
    <row r="228" spans="1:1">
      <c r="A228" s="22"/>
    </row>
    <row r="229" spans="1:1">
      <c r="A229" s="22"/>
    </row>
    <row r="230" spans="1:1">
      <c r="A230" s="22"/>
    </row>
    <row r="231" spans="1:1">
      <c r="A231" s="22"/>
    </row>
    <row r="232" spans="1:1">
      <c r="A232" s="22"/>
    </row>
    <row r="233" spans="1:1">
      <c r="A233" s="22"/>
    </row>
    <row r="234" spans="1:1">
      <c r="A234" s="22"/>
    </row>
    <row r="235" spans="1:1">
      <c r="A235" s="22"/>
    </row>
    <row r="236" spans="1:1">
      <c r="A236" s="22"/>
    </row>
    <row r="237" spans="1:1">
      <c r="A237" s="22"/>
    </row>
    <row r="238" spans="1:1">
      <c r="A238" s="22"/>
    </row>
    <row r="239" spans="1:1">
      <c r="A239" s="22"/>
    </row>
    <row r="240" spans="1:1">
      <c r="A240" s="22"/>
    </row>
    <row r="241" spans="1:1">
      <c r="A241" s="22"/>
    </row>
    <row r="242" spans="1:1">
      <c r="A242" s="22"/>
    </row>
    <row r="243" spans="1:1">
      <c r="A243" s="22"/>
    </row>
    <row r="244" spans="1:1">
      <c r="A244" s="22"/>
    </row>
    <row r="245" spans="1:1">
      <c r="A245" s="22"/>
    </row>
    <row r="246" spans="1:1">
      <c r="A246" s="22"/>
    </row>
    <row r="247" spans="1:1">
      <c r="A247" s="22"/>
    </row>
    <row r="248" spans="1:1">
      <c r="A248" s="22"/>
    </row>
    <row r="249" spans="1:1">
      <c r="A249" s="22"/>
    </row>
    <row r="250" spans="1:1">
      <c r="A250" s="22"/>
    </row>
    <row r="251" spans="1:1">
      <c r="A251" s="22"/>
    </row>
    <row r="252" spans="1:1">
      <c r="A252" s="22"/>
    </row>
    <row r="253" spans="1:1">
      <c r="A253" s="22"/>
    </row>
    <row r="254" spans="1:1">
      <c r="A254" s="22"/>
    </row>
    <row r="255" spans="1:1">
      <c r="A255" s="22"/>
    </row>
    <row r="256" spans="1:1">
      <c r="A256" s="22"/>
    </row>
    <row r="257" spans="1:1">
      <c r="A257" s="22"/>
    </row>
    <row r="258" spans="1:1">
      <c r="A258" s="22"/>
    </row>
    <row r="259" spans="1:1">
      <c r="A259" s="22"/>
    </row>
    <row r="260" spans="1:1">
      <c r="A260" s="22"/>
    </row>
    <row r="261" spans="1:1">
      <c r="A261" s="22"/>
    </row>
    <row r="262" spans="1:1">
      <c r="A262" s="22"/>
    </row>
    <row r="263" spans="1:1">
      <c r="A263" s="22"/>
    </row>
    <row r="264" spans="1:1">
      <c r="A264" s="22"/>
    </row>
    <row r="265" spans="1:1">
      <c r="A265" s="22"/>
    </row>
    <row r="266" spans="1:1">
      <c r="A266" s="22"/>
    </row>
    <row r="267" spans="1:1">
      <c r="A267" s="22"/>
    </row>
    <row r="268" spans="1:1">
      <c r="A268" s="22"/>
    </row>
    <row r="269" spans="1:1">
      <c r="A269" s="22"/>
    </row>
    <row r="270" spans="1:1">
      <c r="A270" s="22"/>
    </row>
    <row r="271" spans="1:1">
      <c r="A271" s="22"/>
    </row>
    <row r="272" spans="1:1">
      <c r="A272" s="22"/>
    </row>
    <row r="273" spans="1:1">
      <c r="A273" s="22"/>
    </row>
    <row r="274" spans="1:1">
      <c r="A274" s="22"/>
    </row>
    <row r="275" spans="1:1">
      <c r="A275" s="22"/>
    </row>
    <row r="276" spans="1:1">
      <c r="A276" s="22"/>
    </row>
    <row r="277" spans="1:1">
      <c r="A277" s="22"/>
    </row>
    <row r="278" spans="1:1">
      <c r="A278" s="22"/>
    </row>
    <row r="279" spans="1:1">
      <c r="A279" s="22"/>
    </row>
    <row r="280" spans="1:1">
      <c r="A280" s="22"/>
    </row>
    <row r="281" spans="1:1">
      <c r="A281" s="22"/>
    </row>
    <row r="282" spans="1:1">
      <c r="A282" s="22"/>
    </row>
    <row r="283" spans="1:1">
      <c r="A283" s="22"/>
    </row>
    <row r="284" spans="1:1">
      <c r="A284" s="22"/>
    </row>
    <row r="285" spans="1:1">
      <c r="A285" s="22"/>
    </row>
    <row r="286" spans="1:1">
      <c r="A286" s="22"/>
    </row>
    <row r="287" spans="1:1">
      <c r="A287" s="22"/>
    </row>
    <row r="288" spans="1:1">
      <c r="A288" s="22"/>
    </row>
    <row r="289" spans="1:1">
      <c r="A289" s="22"/>
    </row>
    <row r="290" spans="1:1">
      <c r="A290" s="22"/>
    </row>
    <row r="291" spans="1:1">
      <c r="A291" s="22"/>
    </row>
    <row r="292" spans="1:1">
      <c r="A292" s="22"/>
    </row>
    <row r="293" spans="1:1">
      <c r="A293" s="22"/>
    </row>
    <row r="294" spans="1:1">
      <c r="A294" s="22"/>
    </row>
    <row r="295" spans="1:1">
      <c r="A295" s="22"/>
    </row>
    <row r="296" spans="1:1">
      <c r="A296" s="22"/>
    </row>
    <row r="297" spans="1:1">
      <c r="A297" s="22"/>
    </row>
    <row r="298" spans="1:1">
      <c r="A298" s="22"/>
    </row>
    <row r="299" spans="1:1">
      <c r="A299" s="22"/>
    </row>
    <row r="300" spans="1:1">
      <c r="A300" s="22"/>
    </row>
    <row r="301" spans="1:1">
      <c r="A301" s="22"/>
    </row>
    <row r="302" spans="1:1">
      <c r="A302" s="22"/>
    </row>
    <row r="303" spans="1:1">
      <c r="A303" s="22"/>
    </row>
    <row r="304" spans="1:1">
      <c r="A304" s="22"/>
    </row>
    <row r="305" spans="1:1">
      <c r="A305" s="22"/>
    </row>
    <row r="306" spans="1:1">
      <c r="A306" s="22"/>
    </row>
    <row r="307" spans="1:1">
      <c r="A307" s="22"/>
    </row>
    <row r="308" spans="1:1">
      <c r="A308" s="22"/>
    </row>
    <row r="309" spans="1:1">
      <c r="A309" s="22"/>
    </row>
    <row r="310" spans="1:1">
      <c r="A310" s="22"/>
    </row>
    <row r="311" spans="1:1">
      <c r="A311" s="22"/>
    </row>
    <row r="312" spans="1:1">
      <c r="A312" s="22"/>
    </row>
    <row r="313" spans="1:1">
      <c r="A313" s="22"/>
    </row>
    <row r="314" spans="1:1">
      <c r="A314" s="22"/>
    </row>
    <row r="315" spans="1:1">
      <c r="A315" s="22"/>
    </row>
    <row r="316" spans="1:1">
      <c r="A316" s="22"/>
    </row>
    <row r="317" spans="1:1">
      <c r="A317" s="22"/>
    </row>
    <row r="318" spans="1:1">
      <c r="A318" s="22"/>
    </row>
    <row r="319" spans="1:1">
      <c r="A319" s="22"/>
    </row>
    <row r="320" spans="1:1">
      <c r="A320" s="22"/>
    </row>
    <row r="321" spans="1:1">
      <c r="A321" s="22"/>
    </row>
    <row r="322" spans="1:1">
      <c r="A322" s="22"/>
    </row>
    <row r="323" spans="1:1">
      <c r="A323" s="22"/>
    </row>
    <row r="324" spans="1:1">
      <c r="A324" s="22"/>
    </row>
    <row r="325" spans="1:1">
      <c r="A325" s="22"/>
    </row>
    <row r="326" spans="1:1">
      <c r="A326" s="22"/>
    </row>
    <row r="327" spans="1:1">
      <c r="A327" s="22"/>
    </row>
    <row r="328" spans="1:1">
      <c r="A328" s="22"/>
    </row>
    <row r="329" spans="1:1">
      <c r="A329" s="22"/>
    </row>
    <row r="330" spans="1:1">
      <c r="A330" s="22"/>
    </row>
    <row r="331" spans="1:1">
      <c r="A331" s="22"/>
    </row>
    <row r="332" spans="1:1">
      <c r="A332" s="22"/>
    </row>
    <row r="333" spans="1:1">
      <c r="A333" s="22"/>
    </row>
    <row r="334" spans="1:1">
      <c r="A334" s="22"/>
    </row>
    <row r="335" spans="1:1">
      <c r="A335" s="22"/>
    </row>
    <row r="336" spans="1:1">
      <c r="A336" s="22"/>
    </row>
    <row r="337" spans="1:1">
      <c r="A337" s="22"/>
    </row>
    <row r="338" spans="1:1">
      <c r="A338" s="22"/>
    </row>
    <row r="339" spans="1:1">
      <c r="A339" s="22"/>
    </row>
    <row r="340" spans="1:1">
      <c r="A340" s="22"/>
    </row>
    <row r="341" spans="1:1">
      <c r="A341" s="22"/>
    </row>
    <row r="342" spans="1:1">
      <c r="A342" s="22"/>
    </row>
    <row r="343" spans="1:1">
      <c r="A343" s="22"/>
    </row>
    <row r="344" spans="1:1">
      <c r="A344" s="22"/>
    </row>
    <row r="345" spans="1:1">
      <c r="A345" s="22"/>
    </row>
    <row r="346" spans="1:1">
      <c r="A346" s="22"/>
    </row>
    <row r="347" spans="1:1">
      <c r="A347" s="22"/>
    </row>
    <row r="348" spans="1:1">
      <c r="A348" s="22"/>
    </row>
    <row r="349" spans="1:1">
      <c r="A349" s="22"/>
    </row>
    <row r="350" spans="1:1">
      <c r="A350" s="22"/>
    </row>
    <row r="351" spans="1:1">
      <c r="A351" s="22"/>
    </row>
    <row r="352" spans="1:1">
      <c r="A352" s="22"/>
    </row>
    <row r="353" spans="1:1">
      <c r="A353" s="22"/>
    </row>
    <row r="354" spans="1:1">
      <c r="A354" s="22"/>
    </row>
    <row r="355" spans="1:1">
      <c r="A355" s="22"/>
    </row>
    <row r="356" spans="1:1">
      <c r="A356" s="22"/>
    </row>
    <row r="357" spans="1:1">
      <c r="A357" s="22"/>
    </row>
    <row r="358" spans="1:1">
      <c r="A358" s="22"/>
    </row>
    <row r="359" spans="1:1">
      <c r="A359" s="22"/>
    </row>
    <row r="360" spans="1:1">
      <c r="A360" s="22"/>
    </row>
    <row r="361" spans="1:1">
      <c r="A361" s="22"/>
    </row>
    <row r="362" spans="1:1">
      <c r="A362" s="22"/>
    </row>
    <row r="363" spans="1:1">
      <c r="A363" s="22"/>
    </row>
    <row r="364" spans="1:1">
      <c r="A364" s="22"/>
    </row>
    <row r="365" spans="1:1">
      <c r="A365" s="22"/>
    </row>
    <row r="366" spans="1:1">
      <c r="A366" s="22"/>
    </row>
    <row r="367" spans="1:1">
      <c r="A367" s="22"/>
    </row>
    <row r="368" spans="1:1">
      <c r="A368" s="22"/>
    </row>
    <row r="369" spans="1:1">
      <c r="A369" s="22"/>
    </row>
    <row r="370" spans="1:1">
      <c r="A370" s="22"/>
    </row>
    <row r="371" spans="1:1">
      <c r="A371" s="22"/>
    </row>
    <row r="372" spans="1:1">
      <c r="A372" s="22"/>
    </row>
    <row r="373" spans="1:1">
      <c r="A373" s="22"/>
    </row>
    <row r="374" spans="1:1">
      <c r="A374" s="22"/>
    </row>
    <row r="375" spans="1:1">
      <c r="A375" s="22"/>
    </row>
    <row r="376" spans="1:1">
      <c r="A376" s="22"/>
    </row>
    <row r="377" spans="1:1">
      <c r="A377" s="22"/>
    </row>
    <row r="378" spans="1:1">
      <c r="A378" s="22"/>
    </row>
    <row r="379" spans="1:1">
      <c r="A379" s="22"/>
    </row>
    <row r="380" spans="1:1">
      <c r="A380" s="22"/>
    </row>
    <row r="381" spans="1:1">
      <c r="A381" s="22"/>
    </row>
    <row r="382" spans="1:1">
      <c r="A382" s="22"/>
    </row>
    <row r="383" spans="1:1">
      <c r="A383" s="22"/>
    </row>
    <row r="384" spans="1:1">
      <c r="A384" s="22"/>
    </row>
    <row r="385" spans="1:1">
      <c r="A385" s="22"/>
    </row>
    <row r="386" spans="1:1">
      <c r="A386" s="22"/>
    </row>
    <row r="387" spans="1:1">
      <c r="A387" s="22"/>
    </row>
    <row r="388" spans="1:1">
      <c r="A388" s="22"/>
    </row>
    <row r="389" spans="1:1">
      <c r="A389" s="22"/>
    </row>
    <row r="390" spans="1:1">
      <c r="A390" s="22"/>
    </row>
    <row r="391" spans="1:1">
      <c r="A391" s="22"/>
    </row>
    <row r="392" spans="1:1">
      <c r="A392" s="22"/>
    </row>
    <row r="393" spans="1:1">
      <c r="A393" s="22"/>
    </row>
    <row r="394" spans="1:1">
      <c r="A394" s="22"/>
    </row>
    <row r="395" spans="1:1">
      <c r="A395" s="22"/>
    </row>
    <row r="396" spans="1:1">
      <c r="A396" s="22"/>
    </row>
    <row r="397" spans="1:1">
      <c r="A397" s="22"/>
    </row>
    <row r="398" spans="1:1">
      <c r="A398" s="22"/>
    </row>
    <row r="399" spans="1:1">
      <c r="A399" s="22"/>
    </row>
    <row r="400" spans="1:1">
      <c r="A400" s="22"/>
    </row>
    <row r="401" spans="1:1">
      <c r="A401" s="22"/>
    </row>
    <row r="402" spans="1:1">
      <c r="A402" s="22"/>
    </row>
    <row r="403" spans="1:1">
      <c r="A403" s="22"/>
    </row>
    <row r="404" spans="1:1">
      <c r="A404" s="22"/>
    </row>
    <row r="405" spans="1:1">
      <c r="A405" s="22"/>
    </row>
    <row r="406" spans="1:1">
      <c r="A406" s="22"/>
    </row>
    <row r="407" spans="1:1">
      <c r="A407" s="22"/>
    </row>
    <row r="408" spans="1:1">
      <c r="A408" s="22"/>
    </row>
    <row r="409" spans="1:1">
      <c r="A409" s="22"/>
    </row>
    <row r="410" spans="1:1">
      <c r="A410" s="22"/>
    </row>
    <row r="411" spans="1:1">
      <c r="A411" s="22"/>
    </row>
    <row r="412" spans="1:1">
      <c r="A412" s="22"/>
    </row>
    <row r="413" spans="1:1">
      <c r="A413" s="22"/>
    </row>
    <row r="414" spans="1:1">
      <c r="A414" s="22"/>
    </row>
    <row r="415" spans="1:1">
      <c r="A415" s="22"/>
    </row>
    <row r="416" spans="1:1">
      <c r="A416" s="22"/>
    </row>
    <row r="417" spans="1:1">
      <c r="A417" s="22"/>
    </row>
    <row r="418" spans="1:1">
      <c r="A418" s="22"/>
    </row>
    <row r="419" spans="1:1">
      <c r="A419" s="22"/>
    </row>
    <row r="420" spans="1:1">
      <c r="A420" s="22"/>
    </row>
    <row r="421" spans="1:1">
      <c r="A421" s="22"/>
    </row>
    <row r="422" spans="1:1">
      <c r="A422" s="22"/>
    </row>
    <row r="423" spans="1:1">
      <c r="A423" s="22"/>
    </row>
    <row r="424" spans="1:1">
      <c r="A424" s="22"/>
    </row>
    <row r="425" spans="1:1">
      <c r="A425" s="22"/>
    </row>
    <row r="426" spans="1:1">
      <c r="A426" s="22"/>
    </row>
    <row r="427" spans="1:1">
      <c r="A427" s="22"/>
    </row>
    <row r="428" spans="1:1">
      <c r="A428" s="22"/>
    </row>
    <row r="429" spans="1:1">
      <c r="A429" s="22"/>
    </row>
    <row r="430" spans="1:1">
      <c r="A430" s="22"/>
    </row>
    <row r="431" spans="1:1">
      <c r="A431" s="22"/>
    </row>
    <row r="432" spans="1:1">
      <c r="A432" s="22"/>
    </row>
    <row r="433" spans="1:1">
      <c r="A433" s="22"/>
    </row>
    <row r="434" spans="1:1">
      <c r="A434" s="22"/>
    </row>
    <row r="435" spans="1:1">
      <c r="A435" s="22"/>
    </row>
    <row r="436" spans="1:1">
      <c r="A436" s="22"/>
    </row>
    <row r="437" spans="1:1">
      <c r="A437" s="22"/>
    </row>
    <row r="438" spans="1:1">
      <c r="A438" s="22"/>
    </row>
    <row r="439" spans="1:1">
      <c r="A439" s="22"/>
    </row>
    <row r="440" spans="1:1">
      <c r="A440" s="22"/>
    </row>
    <row r="441" spans="1:1">
      <c r="A441" s="22"/>
    </row>
    <row r="442" spans="1:1">
      <c r="A442" s="22"/>
    </row>
    <row r="443" spans="1:1">
      <c r="A443" s="22"/>
    </row>
    <row r="444" spans="1:1">
      <c r="A444" s="22"/>
    </row>
    <row r="445" spans="1:1">
      <c r="A445" s="22"/>
    </row>
    <row r="446" spans="1:1">
      <c r="A446" s="22"/>
    </row>
    <row r="447" spans="1:1">
      <c r="A447" s="22"/>
    </row>
    <row r="448" spans="1:1">
      <c r="A448" s="22"/>
    </row>
    <row r="449" spans="1:1">
      <c r="A449" s="22"/>
    </row>
    <row r="450" spans="1:1">
      <c r="A450" s="22"/>
    </row>
    <row r="451" spans="1:1">
      <c r="A451" s="22"/>
    </row>
    <row r="452" spans="1:1">
      <c r="A452" s="22"/>
    </row>
    <row r="453" spans="1:1">
      <c r="A453" s="22"/>
    </row>
    <row r="454" spans="1:1">
      <c r="A454" s="22"/>
    </row>
    <row r="455" spans="1:1">
      <c r="A455" s="22"/>
    </row>
    <row r="456" spans="1:1">
      <c r="A456" s="22"/>
    </row>
    <row r="457" spans="1:1">
      <c r="A457" s="22"/>
    </row>
    <row r="458" spans="1:1">
      <c r="A458" s="22"/>
    </row>
    <row r="459" spans="1:1">
      <c r="A459" s="22"/>
    </row>
    <row r="460" spans="1:1">
      <c r="A460" s="22"/>
    </row>
    <row r="461" spans="1:1">
      <c r="A461" s="22"/>
    </row>
    <row r="462" spans="1:1">
      <c r="A462" s="22"/>
    </row>
    <row r="463" spans="1:1">
      <c r="A463" s="22"/>
    </row>
    <row r="464" spans="1:1">
      <c r="A464" s="22"/>
    </row>
    <row r="465" spans="1:1">
      <c r="A465" s="22"/>
    </row>
    <row r="466" spans="1:1">
      <c r="A466" s="22"/>
    </row>
    <row r="467" spans="1:1">
      <c r="A467" s="22"/>
    </row>
    <row r="468" spans="1:1">
      <c r="A468" s="22"/>
    </row>
    <row r="469" spans="1:1">
      <c r="A469" s="22"/>
    </row>
    <row r="470" spans="1:1">
      <c r="A470" s="22"/>
    </row>
    <row r="471" spans="1:1">
      <c r="A471" s="22"/>
    </row>
    <row r="472" spans="1:1">
      <c r="A472" s="22"/>
    </row>
    <row r="473" spans="1:1">
      <c r="A473" s="22"/>
    </row>
    <row r="474" spans="1:1">
      <c r="A474" s="22"/>
    </row>
    <row r="475" spans="1:1">
      <c r="A475" s="22"/>
    </row>
    <row r="476" spans="1:1">
      <c r="A476" s="22"/>
    </row>
    <row r="477" spans="1:1">
      <c r="A477" s="22"/>
    </row>
    <row r="478" spans="1:1">
      <c r="A478" s="22"/>
    </row>
    <row r="479" spans="1:1">
      <c r="A479" s="22"/>
    </row>
    <row r="480" spans="1:1">
      <c r="A480" s="22"/>
    </row>
    <row r="481" spans="1:1">
      <c r="A481" s="22"/>
    </row>
    <row r="482" spans="1:1">
      <c r="A482" s="22"/>
    </row>
    <row r="483" spans="1:1">
      <c r="A483" s="22"/>
    </row>
    <row r="484" spans="1:1">
      <c r="A484" s="22"/>
    </row>
    <row r="485" spans="1:1">
      <c r="A485" s="22"/>
    </row>
    <row r="486" spans="1:1">
      <c r="A486" s="22"/>
    </row>
    <row r="487" spans="1:1">
      <c r="A487" s="22"/>
    </row>
    <row r="488" spans="1:1">
      <c r="A488" s="22"/>
    </row>
    <row r="489" spans="1:1">
      <c r="A489" s="22"/>
    </row>
    <row r="490" spans="1:1">
      <c r="A490" s="22"/>
    </row>
    <row r="491" spans="1:1">
      <c r="A491" s="22"/>
    </row>
    <row r="492" spans="1:1">
      <c r="A492" s="22"/>
    </row>
    <row r="493" spans="1:1">
      <c r="A493" s="22"/>
    </row>
    <row r="494" spans="1:1">
      <c r="A494" s="22"/>
    </row>
    <row r="495" spans="1:1">
      <c r="A495" s="22"/>
    </row>
    <row r="496" spans="1:1">
      <c r="A496" s="22"/>
    </row>
    <row r="497" spans="1:1">
      <c r="A497" s="22"/>
    </row>
    <row r="498" spans="1:1">
      <c r="A498" s="22"/>
    </row>
    <row r="499" spans="1:1">
      <c r="A499" s="22"/>
    </row>
    <row r="500" spans="1:1">
      <c r="A500" s="22"/>
    </row>
    <row r="501" spans="1:1">
      <c r="A501" s="22"/>
    </row>
    <row r="502" spans="1:1">
      <c r="A502" s="22"/>
    </row>
    <row r="503" spans="1:1">
      <c r="A503" s="22"/>
    </row>
    <row r="504" spans="1:1">
      <c r="A504" s="22"/>
    </row>
    <row r="505" spans="1:1">
      <c r="A505" s="22"/>
    </row>
    <row r="506" spans="1:1">
      <c r="A506" s="22"/>
    </row>
    <row r="507" spans="1:1">
      <c r="A507" s="22"/>
    </row>
    <row r="508" spans="1:1">
      <c r="A508" s="22"/>
    </row>
    <row r="509" spans="1:1">
      <c r="A509" s="22"/>
    </row>
    <row r="510" spans="1:1">
      <c r="A510" s="22"/>
    </row>
    <row r="511" spans="1:1">
      <c r="A511" s="22"/>
    </row>
    <row r="512" spans="1:1">
      <c r="A512" s="22"/>
    </row>
    <row r="513" spans="1:1">
      <c r="A513" s="22"/>
    </row>
    <row r="514" spans="1:1">
      <c r="A514" s="22"/>
    </row>
    <row r="515" spans="1:1">
      <c r="A515" s="22"/>
    </row>
    <row r="516" spans="1:1">
      <c r="A516" s="22"/>
    </row>
    <row r="517" spans="1:1">
      <c r="A517" s="22"/>
    </row>
    <row r="518" spans="1:1">
      <c r="A518" s="22"/>
    </row>
    <row r="519" spans="1:1">
      <c r="A519" s="22"/>
    </row>
    <row r="520" spans="1:1">
      <c r="A520" s="22"/>
    </row>
    <row r="521" spans="1:1">
      <c r="A521" s="22"/>
    </row>
    <row r="522" spans="1:1">
      <c r="A522" s="22"/>
    </row>
    <row r="523" spans="1:1">
      <c r="A523" s="22"/>
    </row>
    <row r="524" spans="1:1">
      <c r="A524" s="22"/>
    </row>
    <row r="525" spans="1:1">
      <c r="A525" s="22"/>
    </row>
    <row r="526" spans="1:1">
      <c r="A526" s="22"/>
    </row>
    <row r="527" spans="1:1">
      <c r="A527" s="22"/>
    </row>
    <row r="528" spans="1:1">
      <c r="A528" s="22"/>
    </row>
    <row r="529" spans="1:1">
      <c r="A529" s="22"/>
    </row>
    <row r="530" spans="1:1">
      <c r="A530" s="22"/>
    </row>
    <row r="531" spans="1:1">
      <c r="A531" s="22"/>
    </row>
    <row r="532" spans="1:1">
      <c r="A532" s="22"/>
    </row>
    <row r="533" spans="1:1">
      <c r="A533" s="22"/>
    </row>
    <row r="534" spans="1:1">
      <c r="A534" s="22"/>
    </row>
    <row r="535" spans="1:1">
      <c r="A535" s="22"/>
    </row>
    <row r="536" spans="1:1">
      <c r="A536" s="22"/>
    </row>
    <row r="537" spans="1:1">
      <c r="A537" s="22"/>
    </row>
    <row r="538" spans="1:1">
      <c r="A538" s="22"/>
    </row>
    <row r="539" spans="1:1">
      <c r="A539" s="22"/>
    </row>
    <row r="540" spans="1:1">
      <c r="A540" s="22"/>
    </row>
    <row r="541" spans="1:1">
      <c r="A541" s="22"/>
    </row>
    <row r="542" spans="1:1">
      <c r="A542" s="22"/>
    </row>
    <row r="543" spans="1:1">
      <c r="A543" s="22"/>
    </row>
    <row r="544" spans="1:1">
      <c r="A544" s="22"/>
    </row>
    <row r="545" spans="1:1">
      <c r="A545" s="22"/>
    </row>
    <row r="546" spans="1:1">
      <c r="A546" s="22"/>
    </row>
    <row r="547" spans="1:1">
      <c r="A547" s="22"/>
    </row>
    <row r="548" spans="1:1">
      <c r="A548" s="22"/>
    </row>
    <row r="549" spans="1:1">
      <c r="A549" s="22"/>
    </row>
    <row r="550" spans="1:1">
      <c r="A550" s="22"/>
    </row>
    <row r="551" spans="1:1">
      <c r="A551" s="22"/>
    </row>
    <row r="552" spans="1:1">
      <c r="A552" s="22"/>
    </row>
    <row r="553" spans="1:1">
      <c r="A553" s="22"/>
    </row>
    <row r="554" spans="1:1">
      <c r="A554" s="22"/>
    </row>
    <row r="555" spans="1:1">
      <c r="A555" s="22"/>
    </row>
    <row r="556" spans="1:1">
      <c r="A556" s="22"/>
    </row>
    <row r="557" spans="1:1">
      <c r="A557" s="22"/>
    </row>
    <row r="558" spans="1:1">
      <c r="A558" s="22"/>
    </row>
    <row r="559" spans="1:1">
      <c r="A559" s="22"/>
    </row>
    <row r="560" spans="1:1">
      <c r="A560" s="22"/>
    </row>
    <row r="561" spans="1:1">
      <c r="A561" s="22"/>
    </row>
    <row r="562" spans="1:1">
      <c r="A562" s="22"/>
    </row>
    <row r="563" spans="1:1">
      <c r="A563" s="22"/>
    </row>
    <row r="564" spans="1:1">
      <c r="A564" s="22"/>
    </row>
    <row r="565" spans="1:1">
      <c r="A565" s="22"/>
    </row>
    <row r="566" spans="1:1">
      <c r="A566" s="22"/>
    </row>
    <row r="567" spans="1:1">
      <c r="A567" s="22"/>
    </row>
    <row r="568" spans="1:1">
      <c r="A568" s="22"/>
    </row>
    <row r="569" spans="1:1">
      <c r="A569" s="22"/>
    </row>
    <row r="570" spans="1:1">
      <c r="A570" s="22"/>
    </row>
    <row r="571" spans="1:1">
      <c r="A571" s="22"/>
    </row>
    <row r="572" spans="1:1">
      <c r="A572" s="22"/>
    </row>
    <row r="573" spans="1:1">
      <c r="A573" s="22"/>
    </row>
    <row r="574" spans="1:1">
      <c r="A574" s="22"/>
    </row>
    <row r="575" spans="1:1">
      <c r="A575" s="22"/>
    </row>
    <row r="576" spans="1:1">
      <c r="A576" s="22"/>
    </row>
    <row r="577" spans="1:1">
      <c r="A577" s="22"/>
    </row>
    <row r="578" spans="1:1">
      <c r="A578" s="22"/>
    </row>
    <row r="579" spans="1:1">
      <c r="A579" s="22"/>
    </row>
    <row r="580" spans="1:1">
      <c r="A580" s="22"/>
    </row>
    <row r="581" spans="1:1">
      <c r="A581" s="22"/>
    </row>
    <row r="582" spans="1:1">
      <c r="A582" s="22"/>
    </row>
    <row r="583" spans="1:1">
      <c r="A583" s="22"/>
    </row>
    <row r="584" spans="1:1">
      <c r="A584" s="22"/>
    </row>
    <row r="585" spans="1:1">
      <c r="A585" s="22"/>
    </row>
    <row r="586" spans="1:1">
      <c r="A586" s="22"/>
    </row>
    <row r="587" spans="1:1">
      <c r="A587" s="22"/>
    </row>
    <row r="588" spans="1:1">
      <c r="A588" s="22"/>
    </row>
    <row r="589" spans="1:1">
      <c r="A589" s="22"/>
    </row>
    <row r="590" spans="1:1">
      <c r="A590" s="22"/>
    </row>
    <row r="591" spans="1:1">
      <c r="A591" s="22"/>
    </row>
    <row r="592" spans="1:1">
      <c r="A592" s="22"/>
    </row>
    <row r="593" spans="1:1">
      <c r="A593" s="22"/>
    </row>
    <row r="594" spans="1:1">
      <c r="A594" s="22"/>
    </row>
    <row r="595" spans="1:1">
      <c r="A595" s="22"/>
    </row>
    <row r="596" spans="1:1">
      <c r="A596" s="22"/>
    </row>
    <row r="597" spans="1:1">
      <c r="A597" s="22"/>
    </row>
    <row r="598" spans="1:1">
      <c r="A598" s="22"/>
    </row>
    <row r="599" spans="1:1">
      <c r="A599" s="22"/>
    </row>
    <row r="600" spans="1:1">
      <c r="A600" s="22"/>
    </row>
    <row r="601" spans="1:1">
      <c r="A601" s="22"/>
    </row>
    <row r="602" spans="1:1">
      <c r="A602" s="22"/>
    </row>
    <row r="603" spans="1:1">
      <c r="A603" s="22"/>
    </row>
    <row r="604" spans="1:1">
      <c r="A604" s="22"/>
    </row>
    <row r="605" spans="1:1">
      <c r="A605" s="22"/>
    </row>
    <row r="606" spans="1:1">
      <c r="A606" s="22"/>
    </row>
    <row r="607" spans="1:1">
      <c r="A607" s="22"/>
    </row>
    <row r="608" spans="1:1">
      <c r="A608" s="22"/>
    </row>
    <row r="609" spans="1:1">
      <c r="A609" s="22"/>
    </row>
    <row r="610" spans="1:1">
      <c r="A610" s="22"/>
    </row>
    <row r="611" spans="1:1">
      <c r="A611" s="22"/>
    </row>
    <row r="612" spans="1:1">
      <c r="A612" s="22"/>
    </row>
    <row r="613" spans="1:1">
      <c r="A613" s="22"/>
    </row>
    <row r="614" spans="1:1">
      <c r="A614" s="22"/>
    </row>
    <row r="615" spans="1:1">
      <c r="A615" s="22"/>
    </row>
    <row r="616" spans="1:1">
      <c r="A616" s="22"/>
    </row>
    <row r="617" spans="1:1">
      <c r="A617" s="22"/>
    </row>
    <row r="618" spans="1:1">
      <c r="A618" s="22"/>
    </row>
    <row r="619" spans="1:1">
      <c r="A619" s="22"/>
    </row>
    <row r="620" spans="1:1">
      <c r="A620" s="22"/>
    </row>
    <row r="621" spans="1:1">
      <c r="A621" s="22"/>
    </row>
    <row r="622" spans="1:1">
      <c r="A622" s="22"/>
    </row>
    <row r="623" spans="1:1">
      <c r="A623" s="22"/>
    </row>
    <row r="624" spans="1:1">
      <c r="A624" s="22"/>
    </row>
    <row r="625" spans="1:1">
      <c r="A625" s="22"/>
    </row>
    <row r="626" spans="1:1">
      <c r="A626" s="22"/>
    </row>
    <row r="627" spans="1:1">
      <c r="A627" s="22"/>
    </row>
    <row r="628" spans="1:1">
      <c r="A628" s="22"/>
    </row>
    <row r="629" spans="1:1">
      <c r="A629" s="22"/>
    </row>
    <row r="630" spans="1:1">
      <c r="A630" s="22"/>
    </row>
    <row r="631" spans="1:1">
      <c r="A631" s="22"/>
    </row>
    <row r="632" spans="1:1">
      <c r="A632" s="22"/>
    </row>
    <row r="633" spans="1:1">
      <c r="A633" s="22"/>
    </row>
    <row r="634" spans="1:1">
      <c r="A634" s="22"/>
    </row>
    <row r="635" spans="1:1">
      <c r="A635" s="22"/>
    </row>
    <row r="636" spans="1:1">
      <c r="A636" s="22"/>
    </row>
    <row r="637" spans="1:1">
      <c r="A637" s="22"/>
    </row>
    <row r="638" spans="1:1">
      <c r="A638" s="22"/>
    </row>
    <row r="639" spans="1:1">
      <c r="A639" s="22"/>
    </row>
    <row r="640" spans="1:1">
      <c r="A640" s="22"/>
    </row>
    <row r="641" spans="1:1">
      <c r="A641" s="22"/>
    </row>
    <row r="642" spans="1:1">
      <c r="A642" s="22"/>
    </row>
    <row r="643" spans="1:1">
      <c r="A643" s="22"/>
    </row>
    <row r="644" spans="1:1">
      <c r="A644" s="22"/>
    </row>
    <row r="645" spans="1:1">
      <c r="A645" s="22"/>
    </row>
    <row r="646" spans="1:1">
      <c r="A646" s="22"/>
    </row>
    <row r="647" spans="1:1">
      <c r="A647" s="22"/>
    </row>
    <row r="648" spans="1:1">
      <c r="A648" s="22"/>
    </row>
    <row r="649" spans="1:1">
      <c r="A649" s="22"/>
    </row>
    <row r="650" spans="1:1">
      <c r="A650" s="22"/>
    </row>
    <row r="651" spans="1:1">
      <c r="A651" s="22"/>
    </row>
    <row r="652" spans="1:1">
      <c r="A652" s="22"/>
    </row>
    <row r="653" spans="1:1">
      <c r="A653" s="22"/>
    </row>
    <row r="654" spans="1:1">
      <c r="A654" s="22"/>
    </row>
    <row r="655" spans="1:1">
      <c r="A655" s="22"/>
    </row>
    <row r="656" spans="1:1">
      <c r="A656" s="22"/>
    </row>
    <row r="657" spans="1:1">
      <c r="A657" s="22"/>
    </row>
    <row r="658" spans="1:1">
      <c r="A658" s="22"/>
    </row>
    <row r="659" spans="1:1">
      <c r="A659" s="22"/>
    </row>
    <row r="660" spans="1:1">
      <c r="A660" s="22"/>
    </row>
    <row r="661" spans="1:1">
      <c r="A661" s="22"/>
    </row>
    <row r="662" spans="1:1">
      <c r="A662" s="22"/>
    </row>
    <row r="663" spans="1:1">
      <c r="A663" s="22"/>
    </row>
    <row r="664" spans="1:1">
      <c r="A664" s="22"/>
    </row>
    <row r="665" spans="1:1">
      <c r="A665" s="22"/>
    </row>
    <row r="666" spans="1:1">
      <c r="A666" s="22"/>
    </row>
    <row r="667" spans="1:1">
      <c r="A667" s="22"/>
    </row>
    <row r="668" spans="1:1">
      <c r="A668" s="22"/>
    </row>
    <row r="669" spans="1:1">
      <c r="A669" s="22"/>
    </row>
    <row r="670" spans="1:1">
      <c r="A670" s="22"/>
    </row>
    <row r="671" spans="1:1">
      <c r="A671" s="22"/>
    </row>
    <row r="672" spans="1:1">
      <c r="A672" s="22"/>
    </row>
    <row r="673" spans="1:1">
      <c r="A673" s="22"/>
    </row>
    <row r="674" spans="1:1">
      <c r="A674" s="22"/>
    </row>
    <row r="675" spans="1:1">
      <c r="A675" s="22"/>
    </row>
    <row r="676" spans="1:1">
      <c r="A676" s="22"/>
    </row>
    <row r="677" spans="1:1">
      <c r="A677" s="22"/>
    </row>
    <row r="678" spans="1:1">
      <c r="A678" s="22"/>
    </row>
    <row r="679" spans="1:1">
      <c r="A679" s="22"/>
    </row>
    <row r="680" spans="1:1">
      <c r="A680" s="22"/>
    </row>
    <row r="681" spans="1:1">
      <c r="A681" s="22"/>
    </row>
    <row r="682" spans="1:1">
      <c r="A682" s="22"/>
    </row>
    <row r="683" spans="1:1">
      <c r="A683" s="22"/>
    </row>
    <row r="684" spans="1:1">
      <c r="A684" s="22"/>
    </row>
    <row r="685" spans="1:1">
      <c r="A685" s="22"/>
    </row>
    <row r="686" spans="1:1">
      <c r="A686" s="22"/>
    </row>
    <row r="687" spans="1:1">
      <c r="A687" s="22"/>
    </row>
    <row r="688" spans="1:1">
      <c r="A688" s="22"/>
    </row>
    <row r="689" spans="1:1">
      <c r="A689" s="22"/>
    </row>
    <row r="690" spans="1:1">
      <c r="A690" s="22"/>
    </row>
    <row r="691" spans="1:1">
      <c r="A691" s="22"/>
    </row>
    <row r="692" spans="1:1">
      <c r="A692" s="22"/>
    </row>
    <row r="693" spans="1:1">
      <c r="A693" s="22"/>
    </row>
    <row r="694" spans="1:1">
      <c r="A694" s="22"/>
    </row>
    <row r="695" spans="1:1">
      <c r="A695" s="22"/>
    </row>
    <row r="696" spans="1:1">
      <c r="A696" s="22"/>
    </row>
    <row r="697" spans="1:1">
      <c r="A697" s="22"/>
    </row>
    <row r="698" spans="1:1">
      <c r="A698" s="22"/>
    </row>
    <row r="699" spans="1:1">
      <c r="A699" s="22"/>
    </row>
    <row r="700" spans="1:1">
      <c r="A700" s="22"/>
    </row>
    <row r="701" spans="1:1">
      <c r="A701" s="22"/>
    </row>
    <row r="702" spans="1:1">
      <c r="A702" s="22"/>
    </row>
    <row r="703" spans="1:1">
      <c r="A703" s="22"/>
    </row>
    <row r="704" spans="1:1">
      <c r="A704" s="22"/>
    </row>
    <row r="705" spans="1:1">
      <c r="A705" s="22"/>
    </row>
    <row r="706" spans="1:1">
      <c r="A706" s="22"/>
    </row>
    <row r="707" spans="1:1">
      <c r="A707" s="22"/>
    </row>
    <row r="708" spans="1:1">
      <c r="A708" s="22"/>
    </row>
    <row r="709" spans="1:1">
      <c r="A709" s="22"/>
    </row>
    <row r="710" spans="1:1">
      <c r="A710" s="22"/>
    </row>
    <row r="711" spans="1:1">
      <c r="A711" s="22"/>
    </row>
    <row r="712" spans="1:1">
      <c r="A712" s="22"/>
    </row>
    <row r="713" spans="1:1">
      <c r="A713" s="22"/>
    </row>
    <row r="714" spans="1:1">
      <c r="A714" s="22"/>
    </row>
    <row r="715" spans="1:1">
      <c r="A715" s="22"/>
    </row>
    <row r="716" spans="1:1">
      <c r="A716" s="22"/>
    </row>
    <row r="717" spans="1:1">
      <c r="A717" s="22"/>
    </row>
    <row r="718" spans="1:1">
      <c r="A718" s="22"/>
    </row>
    <row r="719" spans="1:1">
      <c r="A719" s="22"/>
    </row>
    <row r="720" spans="1:1">
      <c r="A720" s="22"/>
    </row>
    <row r="721" spans="1:1">
      <c r="A721" s="22"/>
    </row>
    <row r="722" spans="1:1">
      <c r="A722" s="22"/>
    </row>
    <row r="723" spans="1:1">
      <c r="A723" s="22"/>
    </row>
    <row r="724" spans="1:1">
      <c r="A724" s="22"/>
    </row>
    <row r="725" spans="1:1">
      <c r="A725" s="22"/>
    </row>
    <row r="726" spans="1:1">
      <c r="A726" s="22"/>
    </row>
    <row r="727" spans="1:1">
      <c r="A727" s="22"/>
    </row>
    <row r="728" spans="1:1">
      <c r="A728" s="22"/>
    </row>
    <row r="729" spans="1:1">
      <c r="A729" s="22"/>
    </row>
    <row r="730" spans="1:1">
      <c r="A730" s="22"/>
    </row>
    <row r="731" spans="1:1">
      <c r="A731" s="22"/>
    </row>
    <row r="732" spans="1:1">
      <c r="A732" s="22"/>
    </row>
    <row r="733" spans="1:1">
      <c r="A733" s="22"/>
    </row>
    <row r="734" spans="1:1">
      <c r="A734" s="22"/>
    </row>
    <row r="735" spans="1:1">
      <c r="A735" s="22"/>
    </row>
    <row r="736" spans="1:1">
      <c r="A736" s="22"/>
    </row>
    <row r="737" spans="1:1">
      <c r="A737" s="22"/>
    </row>
    <row r="738" spans="1:1">
      <c r="A738" s="22"/>
    </row>
    <row r="739" spans="1:1">
      <c r="A739" s="22"/>
    </row>
    <row r="740" spans="1:1">
      <c r="A740" s="22"/>
    </row>
    <row r="741" spans="1:1">
      <c r="A741" s="22"/>
    </row>
    <row r="742" spans="1:1">
      <c r="A742" s="22"/>
    </row>
    <row r="743" spans="1:1">
      <c r="A743" s="22"/>
    </row>
    <row r="744" spans="1:1">
      <c r="A744" s="22"/>
    </row>
    <row r="745" spans="1:1">
      <c r="A745" s="22"/>
    </row>
    <row r="746" spans="1:1">
      <c r="A746" s="22"/>
    </row>
    <row r="747" spans="1:1">
      <c r="A747" s="22"/>
    </row>
    <row r="748" spans="1:1">
      <c r="A748" s="22"/>
    </row>
    <row r="749" spans="1:1">
      <c r="A749" s="22"/>
    </row>
    <row r="750" spans="1:1">
      <c r="A750" s="22"/>
    </row>
    <row r="751" spans="1:1">
      <c r="A751" s="22"/>
    </row>
    <row r="752" spans="1:1">
      <c r="A752" s="22"/>
    </row>
    <row r="753" spans="1:1">
      <c r="A753" s="22"/>
    </row>
    <row r="754" spans="1:1">
      <c r="A754" s="22"/>
    </row>
    <row r="755" spans="1:1">
      <c r="A755" s="22"/>
    </row>
    <row r="756" spans="1:1">
      <c r="A756" s="22"/>
    </row>
    <row r="757" spans="1:1">
      <c r="A757" s="22"/>
    </row>
    <row r="758" spans="1:1">
      <c r="A758" s="22"/>
    </row>
    <row r="759" spans="1:1">
      <c r="A759" s="22"/>
    </row>
    <row r="760" spans="1:1">
      <c r="A760" s="22"/>
    </row>
    <row r="761" spans="1:1">
      <c r="A761" s="22"/>
    </row>
    <row r="762" spans="1:1">
      <c r="A762" s="22"/>
    </row>
    <row r="763" spans="1:1">
      <c r="A763" s="22"/>
    </row>
    <row r="764" spans="1:1">
      <c r="A764" s="22"/>
    </row>
    <row r="765" spans="1:1">
      <c r="A765" s="22"/>
    </row>
    <row r="766" spans="1:1">
      <c r="A766" s="22"/>
    </row>
    <row r="767" spans="1:1">
      <c r="A767" s="22"/>
    </row>
    <row r="768" spans="1:1">
      <c r="A768" s="22"/>
    </row>
    <row r="769" spans="1:1">
      <c r="A769" s="22"/>
    </row>
    <row r="770" spans="1:1">
      <c r="A770" s="22"/>
    </row>
    <row r="771" spans="1:1">
      <c r="A771" s="22"/>
    </row>
    <row r="772" spans="1:1">
      <c r="A772" s="22"/>
    </row>
    <row r="773" spans="1:1">
      <c r="A773" s="22"/>
    </row>
    <row r="774" spans="1:1">
      <c r="A774" s="22"/>
    </row>
    <row r="775" spans="1:1">
      <c r="A775" s="22"/>
    </row>
    <row r="776" spans="1:1">
      <c r="A776" s="22"/>
    </row>
    <row r="777" spans="1:1">
      <c r="A777" s="22"/>
    </row>
    <row r="778" spans="1:1">
      <c r="A778" s="22"/>
    </row>
    <row r="779" spans="1:1">
      <c r="A779" s="22"/>
    </row>
    <row r="780" spans="1:1">
      <c r="A780" s="22"/>
    </row>
    <row r="781" spans="1:1">
      <c r="A781" s="22"/>
    </row>
    <row r="782" spans="1:1">
      <c r="A782" s="22"/>
    </row>
    <row r="783" spans="1:1">
      <c r="A783" s="22"/>
    </row>
    <row r="784" spans="1:1">
      <c r="A784" s="22"/>
    </row>
    <row r="785" spans="1:1">
      <c r="A785" s="22"/>
    </row>
    <row r="786" spans="1:1">
      <c r="A786" s="22"/>
    </row>
    <row r="787" spans="1:1">
      <c r="A787" s="22"/>
    </row>
    <row r="788" spans="1:1">
      <c r="A788" s="22"/>
    </row>
    <row r="789" spans="1:1">
      <c r="A789" s="22"/>
    </row>
    <row r="790" spans="1:1">
      <c r="A790" s="22"/>
    </row>
    <row r="791" spans="1:1">
      <c r="A791" s="22"/>
    </row>
    <row r="792" spans="1:1">
      <c r="A792" s="22"/>
    </row>
    <row r="793" spans="1:1">
      <c r="A793" s="22"/>
    </row>
    <row r="794" spans="1:1">
      <c r="A794" s="22"/>
    </row>
    <row r="795" spans="1:1">
      <c r="A795" s="22"/>
    </row>
    <row r="796" spans="1:1">
      <c r="A796" s="22"/>
    </row>
    <row r="797" spans="1:1">
      <c r="A797" s="22"/>
    </row>
    <row r="798" spans="1:1">
      <c r="A798" s="22"/>
    </row>
    <row r="799" spans="1:1">
      <c r="A799" s="22"/>
    </row>
    <row r="800" spans="1:1">
      <c r="A800" s="22"/>
    </row>
    <row r="801" spans="1:1">
      <c r="A801" s="22"/>
    </row>
    <row r="802" spans="1:1">
      <c r="A802" s="22"/>
    </row>
    <row r="803" spans="1:1">
      <c r="A803" s="22"/>
    </row>
    <row r="804" spans="1:1">
      <c r="A804" s="22"/>
    </row>
    <row r="805" spans="1:1">
      <c r="A805" s="22"/>
    </row>
    <row r="806" spans="1:1">
      <c r="A806" s="22"/>
    </row>
    <row r="807" spans="1:1">
      <c r="A807" s="22"/>
    </row>
    <row r="808" spans="1:1">
      <c r="A808" s="22"/>
    </row>
    <row r="809" spans="1:1">
      <c r="A809" s="22"/>
    </row>
    <row r="810" spans="1:1">
      <c r="A810" s="22"/>
    </row>
    <row r="811" spans="1:1">
      <c r="A811" s="22"/>
    </row>
    <row r="812" spans="1:1">
      <c r="A812" s="22"/>
    </row>
    <row r="813" spans="1:1">
      <c r="A813" s="22"/>
    </row>
    <row r="814" spans="1:1">
      <c r="A814" s="22"/>
    </row>
    <row r="815" spans="1:1">
      <c r="A815" s="22"/>
    </row>
    <row r="816" spans="1:1">
      <c r="A816" s="22"/>
    </row>
    <row r="817" spans="1:1">
      <c r="A817" s="22"/>
    </row>
    <row r="818" spans="1:1">
      <c r="A818" s="22"/>
    </row>
    <row r="819" spans="1:1">
      <c r="A819" s="22"/>
    </row>
    <row r="820" spans="1:1">
      <c r="A820" s="22"/>
    </row>
    <row r="821" spans="1:1">
      <c r="A821" s="22"/>
    </row>
    <row r="822" spans="1:1">
      <c r="A822" s="22"/>
    </row>
    <row r="823" spans="1:1">
      <c r="A823" s="22"/>
    </row>
    <row r="824" spans="1:1">
      <c r="A824" s="22"/>
    </row>
    <row r="825" spans="1:1">
      <c r="A825" s="22"/>
    </row>
    <row r="826" spans="1:1">
      <c r="A826" s="22"/>
    </row>
    <row r="827" spans="1:1">
      <c r="A827" s="22"/>
    </row>
    <row r="828" spans="1:1">
      <c r="A828" s="22"/>
    </row>
    <row r="829" spans="1:1">
      <c r="A829" s="22"/>
    </row>
    <row r="830" spans="1:1">
      <c r="A830" s="22"/>
    </row>
    <row r="831" spans="1:1">
      <c r="A831" s="22"/>
    </row>
    <row r="832" spans="1:1">
      <c r="A832" s="22"/>
    </row>
    <row r="833" spans="1:1">
      <c r="A833" s="22"/>
    </row>
    <row r="834" spans="1:1">
      <c r="A834" s="22"/>
    </row>
    <row r="835" spans="1:1">
      <c r="A835" s="22"/>
    </row>
    <row r="836" spans="1:1">
      <c r="A836" s="22"/>
    </row>
    <row r="837" spans="1:1">
      <c r="A837" s="22"/>
    </row>
    <row r="838" spans="1:1">
      <c r="A838" s="22"/>
    </row>
    <row r="839" spans="1:1">
      <c r="A839" s="22"/>
    </row>
    <row r="840" spans="1:1">
      <c r="A840" s="22"/>
    </row>
    <row r="841" spans="1:1">
      <c r="A841" s="22"/>
    </row>
    <row r="842" spans="1:1">
      <c r="A842" s="22"/>
    </row>
    <row r="843" spans="1:1">
      <c r="A843" s="22"/>
    </row>
    <row r="844" spans="1:1">
      <c r="A844" s="22"/>
    </row>
    <row r="845" spans="1:1">
      <c r="A845" s="22"/>
    </row>
    <row r="846" spans="1:1">
      <c r="A846" s="22"/>
    </row>
    <row r="847" spans="1:1">
      <c r="A847" s="22"/>
    </row>
    <row r="848" spans="1:1">
      <c r="A848" s="22"/>
    </row>
    <row r="849" spans="1:1">
      <c r="A849" s="22"/>
    </row>
    <row r="850" spans="1:1">
      <c r="A850" s="22"/>
    </row>
    <row r="851" spans="1:1">
      <c r="A851" s="22"/>
    </row>
    <row r="852" spans="1:1">
      <c r="A852" s="22"/>
    </row>
    <row r="853" spans="1:1">
      <c r="A853" s="22"/>
    </row>
    <row r="854" spans="1:1">
      <c r="A854" s="22"/>
    </row>
    <row r="855" spans="1:1">
      <c r="A855" s="22"/>
    </row>
    <row r="856" spans="1:1">
      <c r="A856" s="22"/>
    </row>
    <row r="857" spans="1:1">
      <c r="A857" s="22"/>
    </row>
    <row r="858" spans="1:1">
      <c r="A858" s="22"/>
    </row>
    <row r="859" spans="1:1">
      <c r="A859" s="22"/>
    </row>
    <row r="860" spans="1:1">
      <c r="A860" s="22"/>
    </row>
    <row r="861" spans="1:1">
      <c r="A861" s="22"/>
    </row>
    <row r="862" spans="1:1">
      <c r="A862" s="22"/>
    </row>
    <row r="863" spans="1:1">
      <c r="A863" s="22"/>
    </row>
    <row r="864" spans="1:1">
      <c r="A864" s="22"/>
    </row>
    <row r="865" spans="1:1">
      <c r="A865" s="22"/>
    </row>
    <row r="866" spans="1:1">
      <c r="A866" s="22"/>
    </row>
    <row r="867" spans="1:1">
      <c r="A867" s="22"/>
    </row>
    <row r="868" spans="1:1">
      <c r="A868" s="22"/>
    </row>
    <row r="869" spans="1:1">
      <c r="A869" s="22"/>
    </row>
    <row r="870" spans="1:1">
      <c r="A870" s="22"/>
    </row>
    <row r="871" spans="1:1">
      <c r="A871" s="22"/>
    </row>
    <row r="872" spans="1:1">
      <c r="A872" s="22"/>
    </row>
    <row r="873" spans="1:1">
      <c r="A873" s="22"/>
    </row>
    <row r="874" spans="1:1">
      <c r="A874" s="22"/>
    </row>
    <row r="875" spans="1:1">
      <c r="A875" s="22"/>
    </row>
    <row r="876" spans="1:1">
      <c r="A876" s="22"/>
    </row>
    <row r="877" spans="1:1">
      <c r="A877" s="22"/>
    </row>
    <row r="878" spans="1:1">
      <c r="A878" s="22"/>
    </row>
    <row r="879" spans="1:1">
      <c r="A879" s="22"/>
    </row>
    <row r="880" spans="1:1">
      <c r="A880" s="22"/>
    </row>
    <row r="881" spans="1:1">
      <c r="A881" s="22"/>
    </row>
    <row r="882" spans="1:1">
      <c r="A882" s="22"/>
    </row>
    <row r="883" spans="1:1">
      <c r="A883" s="22"/>
    </row>
    <row r="884" spans="1:1">
      <c r="A884" s="22"/>
    </row>
    <row r="885" spans="1:1">
      <c r="A885" s="22"/>
    </row>
    <row r="886" spans="1:1">
      <c r="A886" s="22"/>
    </row>
    <row r="887" spans="1:1">
      <c r="A887" s="22"/>
    </row>
    <row r="888" spans="1:1">
      <c r="A888" s="22"/>
    </row>
    <row r="889" spans="1:1">
      <c r="A889" s="22"/>
    </row>
    <row r="890" spans="1:1">
      <c r="A890" s="22"/>
    </row>
    <row r="891" spans="1:1">
      <c r="A891" s="22"/>
    </row>
    <row r="892" spans="1:1">
      <c r="A892" s="22"/>
    </row>
    <row r="893" spans="1:1">
      <c r="A893" s="22"/>
    </row>
    <row r="894" spans="1:1">
      <c r="A894" s="22"/>
    </row>
    <row r="895" spans="1:1">
      <c r="A895" s="22"/>
    </row>
    <row r="896" spans="1:1">
      <c r="A896" s="22"/>
    </row>
    <row r="897" spans="1:1">
      <c r="A897" s="22"/>
    </row>
    <row r="898" spans="1:1">
      <c r="A898" s="22"/>
    </row>
    <row r="899" spans="1:1">
      <c r="A899" s="22"/>
    </row>
    <row r="900" spans="1:1">
      <c r="A900" s="22"/>
    </row>
    <row r="901" spans="1:1">
      <c r="A901" s="22"/>
    </row>
    <row r="902" spans="1:1">
      <c r="A902" s="22"/>
    </row>
    <row r="903" spans="1:1">
      <c r="A903" s="22"/>
    </row>
    <row r="904" spans="1:1">
      <c r="A904" s="22"/>
    </row>
    <row r="905" spans="1:1">
      <c r="A905" s="22"/>
    </row>
    <row r="906" spans="1:1">
      <c r="A906" s="22"/>
    </row>
    <row r="907" spans="1:1">
      <c r="A907" s="22"/>
    </row>
    <row r="908" spans="1:1">
      <c r="A908" s="22"/>
    </row>
    <row r="909" spans="1:1">
      <c r="A909" s="22"/>
    </row>
    <row r="910" spans="1:1">
      <c r="A910" s="22"/>
    </row>
    <row r="911" spans="1:1">
      <c r="A911" s="22"/>
    </row>
    <row r="912" spans="1:1">
      <c r="A912" s="22"/>
    </row>
    <row r="913" spans="1:1">
      <c r="A913" s="22"/>
    </row>
    <row r="914" spans="1:1">
      <c r="A914" s="22"/>
    </row>
    <row r="915" spans="1:1">
      <c r="A915" s="22"/>
    </row>
    <row r="916" spans="1:1">
      <c r="A916" s="22"/>
    </row>
    <row r="917" spans="1:1">
      <c r="A917" s="22"/>
    </row>
    <row r="918" spans="1:1">
      <c r="A918" s="22"/>
    </row>
    <row r="919" spans="1:1">
      <c r="A919" s="22"/>
    </row>
    <row r="920" spans="1:1">
      <c r="A920" s="22"/>
    </row>
    <row r="921" spans="1:1">
      <c r="A921" s="22"/>
    </row>
    <row r="922" spans="1:1">
      <c r="A922" s="22"/>
    </row>
    <row r="923" spans="1:1">
      <c r="A923" s="22"/>
    </row>
    <row r="924" spans="1:1">
      <c r="A924" s="22"/>
    </row>
    <row r="925" spans="1:1">
      <c r="A925" s="22"/>
    </row>
    <row r="926" spans="1:1">
      <c r="A926" s="22"/>
    </row>
    <row r="927" spans="1:1">
      <c r="A927" s="22"/>
    </row>
    <row r="928" spans="1:1">
      <c r="A928" s="22"/>
    </row>
    <row r="929" spans="1:1">
      <c r="A929" s="22"/>
    </row>
    <row r="930" spans="1:1">
      <c r="A930" s="22"/>
    </row>
    <row r="931" spans="1:1">
      <c r="A931" s="22"/>
    </row>
    <row r="932" spans="1:1">
      <c r="A932" s="22"/>
    </row>
    <row r="933" spans="1:1">
      <c r="A933" s="22"/>
    </row>
    <row r="934" spans="1:1">
      <c r="A934" s="22"/>
    </row>
    <row r="935" spans="1:1">
      <c r="A935" s="22"/>
    </row>
    <row r="936" spans="1:1">
      <c r="A936" s="22"/>
    </row>
    <row r="937" spans="1:1">
      <c r="A937" s="22"/>
    </row>
    <row r="938" spans="1:1">
      <c r="A938" s="22"/>
    </row>
    <row r="939" spans="1:1">
      <c r="A939" s="22"/>
    </row>
    <row r="940" spans="1:1">
      <c r="A940" s="22"/>
    </row>
    <row r="941" spans="1:1">
      <c r="A941" s="22"/>
    </row>
    <row r="942" spans="1:1">
      <c r="A942" s="22"/>
    </row>
    <row r="943" spans="1:1">
      <c r="A943" s="22"/>
    </row>
    <row r="944" spans="1:1">
      <c r="A944" s="22"/>
    </row>
    <row r="945" spans="1:1">
      <c r="A945" s="22"/>
    </row>
    <row r="946" spans="1:1">
      <c r="A946" s="22"/>
    </row>
    <row r="947" spans="1:1">
      <c r="A947" s="22"/>
    </row>
    <row r="948" spans="1:1">
      <c r="A948" s="22"/>
    </row>
    <row r="949" spans="1:1">
      <c r="A949" s="22"/>
    </row>
    <row r="950" spans="1:1">
      <c r="A950" s="22"/>
    </row>
    <row r="951" spans="1:1">
      <c r="A951" s="22"/>
    </row>
    <row r="952" spans="1:1">
      <c r="A952" s="22"/>
    </row>
    <row r="953" spans="1:1">
      <c r="A953" s="22"/>
    </row>
    <row r="954" spans="1:1">
      <c r="A954" s="22"/>
    </row>
    <row r="955" spans="1:1">
      <c r="A955" s="22"/>
    </row>
    <row r="956" spans="1:1">
      <c r="A956" s="22"/>
    </row>
    <row r="957" spans="1:1">
      <c r="A957" s="22"/>
    </row>
    <row r="958" spans="1:1">
      <c r="A958" s="22"/>
    </row>
    <row r="959" spans="1:1">
      <c r="A959" s="22"/>
    </row>
    <row r="960" spans="1:1">
      <c r="A960" s="22"/>
    </row>
    <row r="961" spans="1:1">
      <c r="A961" s="22"/>
    </row>
    <row r="962" spans="1:1">
      <c r="A962" s="22"/>
    </row>
    <row r="963" spans="1:1">
      <c r="A963" s="22"/>
    </row>
    <row r="964" spans="1:1">
      <c r="A964" s="22"/>
    </row>
    <row r="965" spans="1:1">
      <c r="A965" s="22"/>
    </row>
    <row r="966" spans="1:1">
      <c r="A966" s="22"/>
    </row>
    <row r="967" spans="1:1">
      <c r="A967" s="22"/>
    </row>
    <row r="968" spans="1:1">
      <c r="A968" s="22"/>
    </row>
    <row r="969" spans="1:1">
      <c r="A969" s="22"/>
    </row>
    <row r="970" spans="1:1">
      <c r="A970" s="22"/>
    </row>
    <row r="971" spans="1:1">
      <c r="A971" s="22"/>
    </row>
    <row r="972" spans="1:1">
      <c r="A972" s="22"/>
    </row>
    <row r="973" spans="1:1">
      <c r="A973" s="22"/>
    </row>
    <row r="974" spans="1:1">
      <c r="A974" s="22"/>
    </row>
    <row r="975" spans="1:1">
      <c r="A975" s="22"/>
    </row>
    <row r="976" spans="1:1">
      <c r="A976" s="22"/>
    </row>
    <row r="977" spans="1:1">
      <c r="A977" s="22"/>
    </row>
    <row r="978" spans="1:1">
      <c r="A978" s="22"/>
    </row>
    <row r="979" spans="1:1">
      <c r="A979" s="22"/>
    </row>
    <row r="980" spans="1:1">
      <c r="A980" s="22"/>
    </row>
    <row r="981" spans="1:1">
      <c r="A981" s="22"/>
    </row>
    <row r="982" spans="1:1">
      <c r="A982" s="22"/>
    </row>
    <row r="983" spans="1:1">
      <c r="A983" s="22"/>
    </row>
    <row r="984" spans="1:1">
      <c r="A984" s="22"/>
    </row>
    <row r="985" spans="1:1">
      <c r="A985" s="22"/>
    </row>
    <row r="986" spans="1:1">
      <c r="A986" s="22"/>
    </row>
    <row r="987" spans="1:1">
      <c r="A987" s="22"/>
    </row>
    <row r="988" spans="1:1">
      <c r="A988" s="22"/>
    </row>
    <row r="989" spans="1:1">
      <c r="A989" s="22"/>
    </row>
    <row r="990" spans="1:1">
      <c r="A990" s="22"/>
    </row>
    <row r="991" spans="1:1">
      <c r="A991" s="22"/>
    </row>
    <row r="992" spans="1:1">
      <c r="A992" s="22"/>
    </row>
    <row r="993" spans="1:1">
      <c r="A993" s="22"/>
    </row>
    <row r="994" spans="1:1">
      <c r="A994" s="22"/>
    </row>
    <row r="995" spans="1:1">
      <c r="A995" s="22"/>
    </row>
    <row r="996" spans="1:1">
      <c r="A996" s="22"/>
    </row>
    <row r="997" spans="1:1">
      <c r="A997" s="22"/>
    </row>
    <row r="998" spans="1:1">
      <c r="A998" s="22"/>
    </row>
    <row r="999" spans="1:1">
      <c r="A999" s="22"/>
    </row>
    <row r="1000" spans="1:1">
      <c r="A1000" s="22"/>
    </row>
    <row r="1001" spans="1:1">
      <c r="A1001" s="22"/>
    </row>
    <row r="1002" spans="1:1">
      <c r="A1002" s="22"/>
    </row>
    <row r="1003" spans="1:1">
      <c r="A1003" s="22"/>
    </row>
    <row r="1004" spans="1:1">
      <c r="A1004" s="22"/>
    </row>
    <row r="1005" spans="1:1">
      <c r="A1005" s="22"/>
    </row>
    <row r="1006" spans="1:1">
      <c r="A1006" s="22"/>
    </row>
    <row r="1007" spans="1:1">
      <c r="A1007" s="22"/>
    </row>
    <row r="1008" spans="1:1">
      <c r="A1008" s="22"/>
    </row>
    <row r="1009" spans="1:1">
      <c r="A1009" s="22"/>
    </row>
    <row r="1010" spans="1:1">
      <c r="A1010" s="22"/>
    </row>
    <row r="1011" spans="1:1">
      <c r="A1011" s="22"/>
    </row>
    <row r="1012" spans="1:1">
      <c r="A1012" s="22"/>
    </row>
    <row r="1013" spans="1:1">
      <c r="A1013" s="22"/>
    </row>
    <row r="1014" spans="1:1">
      <c r="A1014" s="22"/>
    </row>
    <row r="1015" spans="1:1">
      <c r="A1015" s="22"/>
    </row>
    <row r="1016" spans="1:1">
      <c r="A1016" s="22"/>
    </row>
    <row r="1017" spans="1:1">
      <c r="A1017" s="22"/>
    </row>
    <row r="1018" spans="1:1">
      <c r="A1018" s="22"/>
    </row>
    <row r="1019" spans="1:1">
      <c r="A1019" s="22"/>
    </row>
    <row r="1020" spans="1:1">
      <c r="A1020" s="22"/>
    </row>
    <row r="1021" spans="1:1">
      <c r="A1021" s="22"/>
    </row>
    <row r="1022" spans="1:1">
      <c r="A1022" s="22"/>
    </row>
    <row r="1023" spans="1:1">
      <c r="A1023" s="22"/>
    </row>
    <row r="1024" spans="1:1">
      <c r="A1024" s="22"/>
    </row>
    <row r="1025" spans="1:1">
      <c r="A1025" s="22"/>
    </row>
    <row r="1026" spans="1:1">
      <c r="A1026" s="22"/>
    </row>
    <row r="1027" spans="1:1">
      <c r="A1027" s="22"/>
    </row>
    <row r="1028" spans="1:1">
      <c r="A1028" s="22"/>
    </row>
    <row r="1029" spans="1:1">
      <c r="A1029" s="22"/>
    </row>
    <row r="1030" spans="1:1">
      <c r="A1030" s="22"/>
    </row>
    <row r="1031" spans="1:1">
      <c r="A1031" s="22"/>
    </row>
    <row r="1032" spans="1:1">
      <c r="A1032" s="22"/>
    </row>
    <row r="1033" spans="1:1">
      <c r="A1033" s="22"/>
    </row>
    <row r="1034" spans="1:1">
      <c r="A1034" s="22"/>
    </row>
    <row r="1035" spans="1:1">
      <c r="A1035" s="22"/>
    </row>
    <row r="1036" spans="1:1">
      <c r="A1036" s="22"/>
    </row>
    <row r="1037" spans="1:1">
      <c r="A1037" s="22"/>
    </row>
    <row r="1038" spans="1:1">
      <c r="A1038" s="22"/>
    </row>
    <row r="1039" spans="1:1">
      <c r="A1039" s="22"/>
    </row>
    <row r="1040" spans="1:1">
      <c r="A1040" s="22"/>
    </row>
    <row r="1041" spans="1:1">
      <c r="A1041" s="22"/>
    </row>
    <row r="1042" spans="1:1">
      <c r="A1042" s="22"/>
    </row>
    <row r="1043" spans="1:1">
      <c r="A1043" s="22"/>
    </row>
    <row r="1044" spans="1:1">
      <c r="A1044" s="22"/>
    </row>
    <row r="1045" spans="1:1">
      <c r="A1045" s="22"/>
    </row>
    <row r="1046" spans="1:1">
      <c r="A1046" s="22"/>
    </row>
    <row r="1047" spans="1:1">
      <c r="A1047" s="22"/>
    </row>
    <row r="1048" spans="1:1">
      <c r="A1048" s="22"/>
    </row>
    <row r="1049" spans="1:1">
      <c r="A1049" s="22"/>
    </row>
    <row r="1050" spans="1:1">
      <c r="A1050" s="22"/>
    </row>
    <row r="1051" spans="1:1">
      <c r="A1051" s="22"/>
    </row>
    <row r="1052" spans="1:1">
      <c r="A1052" s="22"/>
    </row>
    <row r="1053" spans="1:1">
      <c r="A1053" s="22"/>
    </row>
    <row r="1054" spans="1:1">
      <c r="A1054" s="22"/>
    </row>
    <row r="1055" spans="1:1">
      <c r="A1055" s="22"/>
    </row>
    <row r="1056" spans="1:1">
      <c r="A1056" s="22"/>
    </row>
    <row r="1057" spans="1:1">
      <c r="A1057" s="22"/>
    </row>
    <row r="1058" spans="1:1">
      <c r="A1058" s="22"/>
    </row>
    <row r="1059" spans="1:1">
      <c r="A1059" s="22"/>
    </row>
    <row r="1060" spans="1:1">
      <c r="A1060" s="22"/>
    </row>
    <row r="1061" spans="1:1">
      <c r="A1061" s="22"/>
    </row>
    <row r="1062" spans="1:1">
      <c r="A1062" s="22"/>
    </row>
    <row r="1063" spans="1:1">
      <c r="A1063" s="22"/>
    </row>
    <row r="1064" spans="1:1">
      <c r="A1064" s="22"/>
    </row>
    <row r="1065" spans="1:1">
      <c r="A1065" s="22"/>
    </row>
    <row r="1066" spans="1:1">
      <c r="A1066" s="22"/>
    </row>
    <row r="1067" spans="1:1">
      <c r="A1067" s="22"/>
    </row>
    <row r="1068" spans="1:1">
      <c r="A1068" s="22"/>
    </row>
    <row r="1069" spans="1:1">
      <c r="A1069" s="22"/>
    </row>
    <row r="1070" spans="1:1">
      <c r="A1070" s="22"/>
    </row>
    <row r="1071" spans="1:1">
      <c r="A1071" s="22"/>
    </row>
    <row r="1072" spans="1:1">
      <c r="A1072" s="22"/>
    </row>
    <row r="1073" spans="1:1">
      <c r="A1073" s="22"/>
    </row>
    <row r="1074" spans="1:1">
      <c r="A1074" s="22"/>
    </row>
    <row r="1075" spans="1:1">
      <c r="A1075" s="22"/>
    </row>
    <row r="1076" spans="1:1">
      <c r="A1076" s="22"/>
    </row>
    <row r="1077" spans="1:1">
      <c r="A1077" s="22"/>
    </row>
    <row r="1078" spans="1:1">
      <c r="A1078" s="22"/>
    </row>
    <row r="1079" spans="1:1">
      <c r="A1079" s="22"/>
    </row>
    <row r="1080" spans="1:1">
      <c r="A1080" s="22"/>
    </row>
    <row r="1081" spans="1:1">
      <c r="A1081" s="22"/>
    </row>
    <row r="1082" spans="1:1">
      <c r="A1082" s="22"/>
    </row>
    <row r="1083" spans="1:1">
      <c r="A1083" s="22"/>
    </row>
    <row r="1084" spans="1:1">
      <c r="A1084" s="22"/>
    </row>
    <row r="1085" spans="1:1">
      <c r="A1085" s="22"/>
    </row>
    <row r="1086" spans="1:1">
      <c r="A1086" s="22"/>
    </row>
    <row r="1087" spans="1:1">
      <c r="A1087" s="22"/>
    </row>
    <row r="1088" spans="1:1">
      <c r="A1088" s="22"/>
    </row>
    <row r="1089" spans="1:1">
      <c r="A1089" s="22"/>
    </row>
    <row r="1090" spans="1:1">
      <c r="A1090" s="22"/>
    </row>
    <row r="1091" spans="1:1">
      <c r="A1091" s="22"/>
    </row>
    <row r="1092" spans="1:1">
      <c r="A1092" s="22"/>
    </row>
    <row r="1093" spans="1:1">
      <c r="A1093" s="22"/>
    </row>
    <row r="1094" spans="1:1">
      <c r="A1094" s="22"/>
    </row>
    <row r="1095" spans="1:1">
      <c r="A1095" s="22"/>
    </row>
    <row r="1096" spans="1:1">
      <c r="A1096" s="22"/>
    </row>
    <row r="1097" spans="1:1">
      <c r="A1097" s="22"/>
    </row>
    <row r="1098" spans="1:1">
      <c r="A1098" s="22"/>
    </row>
    <row r="1099" spans="1:1">
      <c r="A1099" s="22"/>
    </row>
    <row r="1100" spans="1:1">
      <c r="A1100" s="22"/>
    </row>
    <row r="1101" spans="1:1">
      <c r="A1101" s="22"/>
    </row>
    <row r="1102" spans="1:1">
      <c r="A1102" s="22"/>
    </row>
    <row r="1103" spans="1:1">
      <c r="A1103" s="22"/>
    </row>
    <row r="1104" spans="1:1">
      <c r="A1104" s="22"/>
    </row>
    <row r="1105" spans="1:1">
      <c r="A1105" s="22"/>
    </row>
    <row r="1106" spans="1:1">
      <c r="A1106" s="22"/>
    </row>
    <row r="1107" spans="1:1">
      <c r="A1107" s="22"/>
    </row>
    <row r="1108" spans="1:1">
      <c r="A1108" s="22"/>
    </row>
    <row r="1109" spans="1:1">
      <c r="A1109" s="22"/>
    </row>
    <row r="1110" spans="1:1">
      <c r="A1110" s="22"/>
    </row>
    <row r="1111" spans="1:1">
      <c r="A1111" s="22"/>
    </row>
    <row r="1112" spans="1:1">
      <c r="A1112" s="22"/>
    </row>
    <row r="1113" spans="1:1">
      <c r="A1113" s="22"/>
    </row>
    <row r="1114" spans="1:1">
      <c r="A1114" s="22"/>
    </row>
    <row r="1115" spans="1:1">
      <c r="A1115" s="22"/>
    </row>
    <row r="1116" spans="1:1">
      <c r="A1116" s="22"/>
    </row>
    <row r="1117" spans="1:1">
      <c r="A1117" s="22"/>
    </row>
    <row r="1118" spans="1:1">
      <c r="A1118" s="22"/>
    </row>
    <row r="1119" spans="1:1">
      <c r="A1119" s="22"/>
    </row>
    <row r="1120" spans="1:1">
      <c r="A1120" s="22"/>
    </row>
    <row r="1121" spans="1:1">
      <c r="A1121" s="22"/>
    </row>
    <row r="1122" spans="1:1">
      <c r="A1122" s="22"/>
    </row>
    <row r="1123" spans="1:1">
      <c r="A1123" s="22"/>
    </row>
    <row r="1124" spans="1:1">
      <c r="A1124" s="22"/>
    </row>
    <row r="1125" spans="1:1">
      <c r="A1125" s="22"/>
    </row>
    <row r="1126" spans="1:1">
      <c r="A1126" s="22"/>
    </row>
    <row r="1127" spans="1:1">
      <c r="A1127" s="22"/>
    </row>
    <row r="1128" spans="1:1">
      <c r="A1128" s="22"/>
    </row>
    <row r="1129" spans="1:1">
      <c r="A1129" s="22"/>
    </row>
    <row r="1130" spans="1:1">
      <c r="A1130" s="22"/>
    </row>
    <row r="1131" spans="1:1">
      <c r="A1131" s="22"/>
    </row>
    <row r="1132" spans="1:1">
      <c r="A1132" s="22"/>
    </row>
    <row r="1133" spans="1:1">
      <c r="A1133" s="22"/>
    </row>
    <row r="1134" spans="1:1">
      <c r="A1134" s="22"/>
    </row>
    <row r="1135" spans="1:1">
      <c r="A1135" s="22"/>
    </row>
    <row r="1136" spans="1:1">
      <c r="A1136" s="22"/>
    </row>
    <row r="1137" spans="1:1">
      <c r="A1137" s="22"/>
    </row>
    <row r="1138" spans="1:1">
      <c r="A1138" s="22"/>
    </row>
    <row r="1139" spans="1:1">
      <c r="A1139" s="22"/>
    </row>
    <row r="1140" spans="1:1">
      <c r="A1140" s="22"/>
    </row>
    <row r="1141" spans="1:1">
      <c r="A1141" s="22"/>
    </row>
    <row r="1142" spans="1:1">
      <c r="A1142" s="22"/>
    </row>
    <row r="1143" spans="1:1">
      <c r="A1143" s="22"/>
    </row>
    <row r="1144" spans="1:1">
      <c r="A1144" s="22"/>
    </row>
    <row r="1145" spans="1:1">
      <c r="A1145" s="22"/>
    </row>
    <row r="1146" spans="1:1">
      <c r="A1146" s="22"/>
    </row>
    <row r="1147" spans="1:1">
      <c r="A1147" s="22"/>
    </row>
    <row r="1148" spans="1:1">
      <c r="A1148" s="22"/>
    </row>
    <row r="1149" spans="1:1">
      <c r="A1149" s="22"/>
    </row>
    <row r="1150" spans="1:1">
      <c r="A1150" s="22"/>
    </row>
    <row r="1151" spans="1:1">
      <c r="A1151" s="22"/>
    </row>
    <row r="1152" spans="1:1">
      <c r="A1152" s="22"/>
    </row>
    <row r="1153" spans="1:1">
      <c r="A1153" s="22"/>
    </row>
    <row r="1154" spans="1:1">
      <c r="A1154" s="22"/>
    </row>
    <row r="1155" spans="1:1">
      <c r="A1155" s="22"/>
    </row>
    <row r="1156" spans="1:1">
      <c r="A1156" s="22"/>
    </row>
    <row r="1157" spans="1:1">
      <c r="A1157" s="22"/>
    </row>
    <row r="1158" spans="1:1">
      <c r="A1158" s="22"/>
    </row>
    <row r="1159" spans="1:1">
      <c r="A1159" s="22"/>
    </row>
    <row r="1160" spans="1:1">
      <c r="A1160" s="22"/>
    </row>
    <row r="1161" spans="1:1">
      <c r="A1161" s="22"/>
    </row>
    <row r="1162" spans="1:1">
      <c r="A1162" s="22"/>
    </row>
    <row r="1163" spans="1:1">
      <c r="A1163" s="22"/>
    </row>
    <row r="1164" spans="1:1">
      <c r="A1164" s="22"/>
    </row>
    <row r="1165" spans="1:1">
      <c r="A1165" s="22"/>
    </row>
    <row r="1166" spans="1:1">
      <c r="A1166" s="22"/>
    </row>
    <row r="1167" spans="1:1">
      <c r="A1167" s="22"/>
    </row>
    <row r="1168" spans="1:1">
      <c r="A1168" s="22"/>
    </row>
    <row r="1169" spans="1:1">
      <c r="A1169" s="22"/>
    </row>
    <row r="1170" spans="1:1">
      <c r="A1170" s="22"/>
    </row>
    <row r="1171" spans="1:1">
      <c r="A1171" s="22"/>
    </row>
    <row r="1172" spans="1:1">
      <c r="A1172" s="22"/>
    </row>
    <row r="1173" spans="1:1">
      <c r="A1173" s="22"/>
    </row>
    <row r="1174" spans="1:1">
      <c r="A1174" s="22"/>
    </row>
    <row r="1175" spans="1:1">
      <c r="A1175" s="22"/>
    </row>
    <row r="1176" spans="1:1">
      <c r="A1176" s="22"/>
    </row>
    <row r="1177" spans="1:1">
      <c r="A1177" s="22"/>
    </row>
    <row r="1178" spans="1:1">
      <c r="A1178" s="22"/>
    </row>
    <row r="1179" spans="1:1">
      <c r="A1179" s="22"/>
    </row>
    <row r="1180" spans="1:1">
      <c r="A1180" s="22"/>
    </row>
    <row r="1181" spans="1:1">
      <c r="A1181" s="22"/>
    </row>
    <row r="1182" spans="1:1">
      <c r="A1182" s="22"/>
    </row>
    <row r="1183" spans="1:1">
      <c r="A1183" s="22"/>
    </row>
    <row r="1184" spans="1:1">
      <c r="A1184" s="22"/>
    </row>
    <row r="1185" spans="1:1">
      <c r="A1185" s="22"/>
    </row>
    <row r="1186" spans="1:1">
      <c r="A1186" s="22"/>
    </row>
    <row r="1187" spans="1:1">
      <c r="A1187" s="22"/>
    </row>
    <row r="1188" spans="1:1">
      <c r="A1188" s="22"/>
    </row>
    <row r="1189" spans="1:1">
      <c r="A1189" s="22"/>
    </row>
    <row r="1190" spans="1:1">
      <c r="A1190" s="22"/>
    </row>
    <row r="1191" spans="1:1">
      <c r="A1191" s="22"/>
    </row>
    <row r="1192" spans="1:1">
      <c r="A1192" s="22"/>
    </row>
    <row r="1193" spans="1:1">
      <c r="A1193" s="22"/>
    </row>
    <row r="1194" spans="1:1">
      <c r="A1194" s="22"/>
    </row>
    <row r="1195" spans="1:1">
      <c r="A1195" s="22"/>
    </row>
    <row r="1196" spans="1:1">
      <c r="A1196" s="22"/>
    </row>
    <row r="1197" spans="1:1">
      <c r="A1197" s="22"/>
    </row>
    <row r="1198" spans="1:1">
      <c r="A1198" s="22"/>
    </row>
    <row r="1199" spans="1:1">
      <c r="A1199" s="22"/>
    </row>
    <row r="1200" spans="1:1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  <row r="1254" spans="1:1">
      <c r="A1254" s="22"/>
    </row>
    <row r="1255" spans="1:1">
      <c r="A1255" s="22"/>
    </row>
    <row r="1256" spans="1:1">
      <c r="A1256" s="22"/>
    </row>
    <row r="1257" spans="1:1">
      <c r="A1257" s="22"/>
    </row>
    <row r="1258" spans="1:1">
      <c r="A1258" s="22"/>
    </row>
    <row r="1259" spans="1:1">
      <c r="A1259" s="22"/>
    </row>
    <row r="1260" spans="1:1">
      <c r="A1260" s="22"/>
    </row>
    <row r="1261" spans="1:1">
      <c r="A1261" s="22"/>
    </row>
    <row r="1262" spans="1:1">
      <c r="A1262" s="22"/>
    </row>
    <row r="1263" spans="1:1">
      <c r="A1263" s="22"/>
    </row>
    <row r="1264" spans="1:1">
      <c r="A1264" s="22"/>
    </row>
    <row r="1265" spans="1:1">
      <c r="A1265" s="22"/>
    </row>
    <row r="1266" spans="1:1">
      <c r="A1266" s="22"/>
    </row>
    <row r="1267" spans="1:1">
      <c r="A1267" s="22"/>
    </row>
    <row r="1268" spans="1:1">
      <c r="A1268" s="22"/>
    </row>
    <row r="1269" spans="1:1">
      <c r="A1269" s="22"/>
    </row>
    <row r="1270" spans="1:1">
      <c r="A1270" s="22"/>
    </row>
    <row r="1271" spans="1:1">
      <c r="A1271" s="22"/>
    </row>
    <row r="1272" spans="1:1">
      <c r="A1272" s="22"/>
    </row>
    <row r="1273" spans="1:1">
      <c r="A1273" s="22"/>
    </row>
    <row r="1274" spans="1:1">
      <c r="A1274" s="22"/>
    </row>
    <row r="1275" spans="1:1">
      <c r="A1275" s="22"/>
    </row>
    <row r="1276" spans="1:1">
      <c r="A1276" s="22"/>
    </row>
    <row r="1277" spans="1:1">
      <c r="A1277" s="22"/>
    </row>
    <row r="1278" spans="1:1">
      <c r="A1278" s="22"/>
    </row>
    <row r="1279" spans="1:1">
      <c r="A1279" s="22"/>
    </row>
    <row r="1280" spans="1:1">
      <c r="A1280" s="22"/>
    </row>
    <row r="1281" spans="1:1">
      <c r="A1281" s="22"/>
    </row>
    <row r="1282" spans="1:1">
      <c r="A1282" s="22"/>
    </row>
    <row r="1283" spans="1:1">
      <c r="A1283" s="22"/>
    </row>
    <row r="1284" spans="1:1">
      <c r="A1284" s="22"/>
    </row>
    <row r="1285" spans="1:1">
      <c r="A1285" s="22"/>
    </row>
    <row r="1286" spans="1:1">
      <c r="A1286" s="22"/>
    </row>
    <row r="1287" spans="1:1">
      <c r="A1287" s="22"/>
    </row>
    <row r="1288" spans="1:1">
      <c r="A1288" s="22"/>
    </row>
    <row r="1289" spans="1:1">
      <c r="A1289" s="22"/>
    </row>
    <row r="1290" spans="1:1">
      <c r="A1290" s="22"/>
    </row>
    <row r="1291" spans="1:1">
      <c r="A1291" s="22"/>
    </row>
    <row r="1292" spans="1:1">
      <c r="A1292" s="22"/>
    </row>
    <row r="1293" spans="1:1">
      <c r="A1293" s="22"/>
    </row>
    <row r="1294" spans="1:1">
      <c r="A1294" s="22"/>
    </row>
    <row r="1295" spans="1:1">
      <c r="A1295" s="22"/>
    </row>
    <row r="1296" spans="1:1">
      <c r="A1296" s="22"/>
    </row>
    <row r="1297" spans="1:1">
      <c r="A1297" s="22"/>
    </row>
    <row r="1298" spans="1:1">
      <c r="A1298" s="22"/>
    </row>
    <row r="1299" spans="1:1">
      <c r="A1299" s="22"/>
    </row>
    <row r="1300" spans="1:1">
      <c r="A1300" s="22"/>
    </row>
    <row r="1301" spans="1:1">
      <c r="A1301" s="22"/>
    </row>
    <row r="1302" spans="1:1">
      <c r="A1302" s="22"/>
    </row>
    <row r="1303" spans="1:1">
      <c r="A1303" s="22"/>
    </row>
    <row r="1304" spans="1:1">
      <c r="A1304" s="22"/>
    </row>
    <row r="1305" spans="1:1">
      <c r="A1305" s="22"/>
    </row>
    <row r="1306" spans="1:1">
      <c r="A1306" s="22"/>
    </row>
    <row r="1307" spans="1:1">
      <c r="A1307" s="22"/>
    </row>
    <row r="1308" spans="1:1">
      <c r="A1308" s="22"/>
    </row>
    <row r="1309" spans="1:1">
      <c r="A1309" s="22"/>
    </row>
    <row r="1310" spans="1:1">
      <c r="A1310" s="22"/>
    </row>
    <row r="1311" spans="1:1">
      <c r="A1311" s="22"/>
    </row>
    <row r="1312" spans="1:1">
      <c r="A1312" s="22"/>
    </row>
    <row r="1313" spans="1:1">
      <c r="A1313" s="22"/>
    </row>
    <row r="1314" spans="1:1">
      <c r="A1314" s="22"/>
    </row>
    <row r="1315" spans="1:1">
      <c r="A1315" s="22"/>
    </row>
    <row r="1316" spans="1:1">
      <c r="A1316" s="22"/>
    </row>
    <row r="1317" spans="1:1">
      <c r="A1317" s="22"/>
    </row>
    <row r="1318" spans="1:1">
      <c r="A1318" s="22"/>
    </row>
    <row r="1319" spans="1:1">
      <c r="A1319" s="22"/>
    </row>
    <row r="1320" spans="1:1">
      <c r="A1320" s="22"/>
    </row>
    <row r="1321" spans="1:1">
      <c r="A1321" s="22"/>
    </row>
    <row r="1322" spans="1:1">
      <c r="A1322" s="22"/>
    </row>
    <row r="1323" spans="1:1">
      <c r="A1323" s="22"/>
    </row>
    <row r="1324" spans="1:1">
      <c r="A1324" s="22"/>
    </row>
    <row r="1325" spans="1:1">
      <c r="A1325" s="22"/>
    </row>
    <row r="1326" spans="1:1">
      <c r="A1326" s="22"/>
    </row>
    <row r="1327" spans="1:1">
      <c r="A1327" s="22"/>
    </row>
    <row r="1328" spans="1:1">
      <c r="A1328" s="22"/>
    </row>
    <row r="1329" spans="1:1">
      <c r="A1329" s="22"/>
    </row>
    <row r="1330" spans="1:1">
      <c r="A1330" s="22"/>
    </row>
    <row r="1331" spans="1:1">
      <c r="A1331" s="22"/>
    </row>
    <row r="1332" spans="1:1">
      <c r="A1332" s="22"/>
    </row>
    <row r="1333" spans="1:1">
      <c r="A1333" s="22"/>
    </row>
    <row r="1334" spans="1:1">
      <c r="A1334" s="22"/>
    </row>
    <row r="1335" spans="1:1">
      <c r="A1335" s="22"/>
    </row>
    <row r="1336" spans="1:1">
      <c r="A1336" s="22"/>
    </row>
    <row r="1337" spans="1:1">
      <c r="A1337" s="22"/>
    </row>
    <row r="1338" spans="1:1">
      <c r="A1338" s="22"/>
    </row>
    <row r="1339" spans="1:1">
      <c r="A1339" s="22"/>
    </row>
    <row r="1340" spans="1:1">
      <c r="A1340" s="22"/>
    </row>
    <row r="1341" spans="1:1">
      <c r="A1341" s="22"/>
    </row>
    <row r="1342" spans="1:1">
      <c r="A1342" s="22"/>
    </row>
    <row r="1343" spans="1:1">
      <c r="A1343" s="22"/>
    </row>
    <row r="1344" spans="1:1">
      <c r="A1344" s="22"/>
    </row>
    <row r="1345" spans="1:1">
      <c r="A1345" s="22"/>
    </row>
    <row r="1346" spans="1:1">
      <c r="A1346" s="22"/>
    </row>
    <row r="1347" spans="1:1">
      <c r="A1347" s="22"/>
    </row>
    <row r="1348" spans="1:1">
      <c r="A1348" s="22"/>
    </row>
    <row r="1349" spans="1:1">
      <c r="A1349" s="22"/>
    </row>
    <row r="1350" spans="1:1">
      <c r="A1350" s="22"/>
    </row>
    <row r="1351" spans="1:1">
      <c r="A1351" s="22"/>
    </row>
    <row r="1352" spans="1:1">
      <c r="A1352" s="22"/>
    </row>
    <row r="1353" spans="1:1">
      <c r="A1353" s="22"/>
    </row>
    <row r="1354" spans="1:1">
      <c r="A1354" s="22"/>
    </row>
    <row r="1355" spans="1:1">
      <c r="A1355" s="22"/>
    </row>
    <row r="1356" spans="1:1">
      <c r="A1356" s="22"/>
    </row>
    <row r="1357" spans="1:1">
      <c r="A1357" s="22"/>
    </row>
    <row r="1358" spans="1:1">
      <c r="A1358" s="22"/>
    </row>
    <row r="1359" spans="1:1">
      <c r="A1359" s="22"/>
    </row>
    <row r="1360" spans="1:1">
      <c r="A1360" s="22"/>
    </row>
    <row r="1361" spans="1:1">
      <c r="A1361" s="22"/>
    </row>
    <row r="1362" spans="1:1">
      <c r="A1362" s="22"/>
    </row>
    <row r="1363" spans="1:1">
      <c r="A1363" s="22"/>
    </row>
    <row r="1364" spans="1:1">
      <c r="A1364" s="22"/>
    </row>
    <row r="1365" spans="1:1">
      <c r="A1365" s="22"/>
    </row>
    <row r="1366" spans="1:1">
      <c r="A1366" s="22"/>
    </row>
    <row r="1367" spans="1:1">
      <c r="A1367" s="22"/>
    </row>
    <row r="1368" spans="1:1">
      <c r="A1368" s="22"/>
    </row>
    <row r="1369" spans="1:1">
      <c r="A1369" s="22"/>
    </row>
    <row r="1370" spans="1:1">
      <c r="A1370" s="22"/>
    </row>
    <row r="1371" spans="1:1">
      <c r="A1371" s="22"/>
    </row>
    <row r="1372" spans="1:1">
      <c r="A1372" s="22"/>
    </row>
    <row r="1373" spans="1:1">
      <c r="A1373" s="22"/>
    </row>
    <row r="1374" spans="1:1">
      <c r="A1374" s="22"/>
    </row>
    <row r="1375" spans="1:1">
      <c r="A1375" s="22"/>
    </row>
    <row r="1376" spans="1:1">
      <c r="A1376" s="22"/>
    </row>
    <row r="1377" spans="1:1">
      <c r="A1377" s="22"/>
    </row>
    <row r="1378" spans="1:1">
      <c r="A1378" s="22"/>
    </row>
    <row r="1379" spans="1:1">
      <c r="A1379" s="22"/>
    </row>
    <row r="1380" spans="1:1">
      <c r="A1380" s="22"/>
    </row>
    <row r="1381" spans="1:1">
      <c r="A1381" s="22"/>
    </row>
    <row r="1382" spans="1:1">
      <c r="A1382" s="22"/>
    </row>
    <row r="1383" spans="1:1">
      <c r="A1383" s="22"/>
    </row>
    <row r="1384" spans="1:1">
      <c r="A1384" s="22"/>
    </row>
    <row r="1385" spans="1:1">
      <c r="A1385" s="22"/>
    </row>
    <row r="1386" spans="1:1">
      <c r="A1386" s="22"/>
    </row>
    <row r="1387" spans="1:1">
      <c r="A1387" s="22"/>
    </row>
    <row r="1388" spans="1:1">
      <c r="A1388" s="22"/>
    </row>
    <row r="1389" spans="1:1">
      <c r="A1389" s="22"/>
    </row>
    <row r="1390" spans="1:1">
      <c r="A1390" s="22"/>
    </row>
    <row r="1391" spans="1:1">
      <c r="A1391" s="22"/>
    </row>
    <row r="1392" spans="1:1">
      <c r="A1392" s="22"/>
    </row>
    <row r="1393" spans="1:1">
      <c r="A1393" s="22"/>
    </row>
    <row r="1394" spans="1:1">
      <c r="A1394" s="22"/>
    </row>
    <row r="1395" spans="1:1">
      <c r="A1395" s="22"/>
    </row>
    <row r="1396" spans="1:1">
      <c r="A1396" s="22"/>
    </row>
    <row r="1397" spans="1:1">
      <c r="A1397" s="22"/>
    </row>
    <row r="1398" spans="1:1">
      <c r="A1398" s="22"/>
    </row>
    <row r="1399" spans="1:1">
      <c r="A1399" s="22"/>
    </row>
    <row r="1400" spans="1:1">
      <c r="A1400" s="22"/>
    </row>
    <row r="1401" spans="1:1">
      <c r="A1401" s="22"/>
    </row>
    <row r="1402" spans="1:1">
      <c r="A1402" s="22"/>
    </row>
    <row r="1403" spans="1:1">
      <c r="A1403" s="22"/>
    </row>
    <row r="1404" spans="1:1">
      <c r="A1404" s="22"/>
    </row>
    <row r="1405" spans="1:1">
      <c r="A1405" s="22"/>
    </row>
    <row r="1406" spans="1:1">
      <c r="A1406" s="22"/>
    </row>
    <row r="1407" spans="1:1">
      <c r="A1407" s="22"/>
    </row>
    <row r="1408" spans="1:1">
      <c r="A1408" s="22"/>
    </row>
    <row r="1409" spans="1:1">
      <c r="A1409" s="22"/>
    </row>
    <row r="1410" spans="1:1">
      <c r="A1410" s="22"/>
    </row>
    <row r="1411" spans="1:1">
      <c r="A1411" s="22"/>
    </row>
    <row r="1412" spans="1:1">
      <c r="A1412" s="22"/>
    </row>
    <row r="1413" spans="1:1">
      <c r="A1413" s="22"/>
    </row>
    <row r="1414" spans="1:1">
      <c r="A1414" s="22"/>
    </row>
    <row r="1415" spans="1:1">
      <c r="A1415" s="22"/>
    </row>
    <row r="1416" spans="1:1">
      <c r="A1416" s="22"/>
    </row>
    <row r="1417" spans="1:1">
      <c r="A1417" s="22"/>
    </row>
    <row r="1418" spans="1:1">
      <c r="A1418" s="22"/>
    </row>
    <row r="1419" spans="1:1">
      <c r="A1419" s="22"/>
    </row>
    <row r="1420" spans="1:1">
      <c r="A1420" s="22"/>
    </row>
    <row r="1421" spans="1:1">
      <c r="A1421" s="22"/>
    </row>
    <row r="1422" spans="1:1">
      <c r="A1422" s="22"/>
    </row>
    <row r="1423" spans="1:1">
      <c r="A1423" s="22"/>
    </row>
    <row r="1424" spans="1:1">
      <c r="A1424" s="22"/>
    </row>
    <row r="1425" spans="1:1">
      <c r="A1425" s="22"/>
    </row>
    <row r="1426" spans="1:1">
      <c r="A1426" s="22"/>
    </row>
    <row r="1427" spans="1:1">
      <c r="A1427" s="22"/>
    </row>
    <row r="1428" spans="1:1">
      <c r="A1428" s="22"/>
    </row>
    <row r="1429" spans="1:1">
      <c r="A1429" s="22"/>
    </row>
    <row r="1430" spans="1:1">
      <c r="A1430" s="22"/>
    </row>
    <row r="1431" spans="1:1">
      <c r="A1431" s="22"/>
    </row>
    <row r="1432" spans="1:1">
      <c r="A1432" s="22"/>
    </row>
    <row r="1433" spans="1:1">
      <c r="A1433" s="22"/>
    </row>
    <row r="1434" spans="1:1">
      <c r="A1434" s="22"/>
    </row>
    <row r="1435" spans="1:1">
      <c r="A1435" s="22"/>
    </row>
    <row r="1436" spans="1:1">
      <c r="A1436" s="22"/>
    </row>
    <row r="1437" spans="1:1">
      <c r="A1437" s="22"/>
    </row>
    <row r="1438" spans="1:1">
      <c r="A1438" s="22"/>
    </row>
    <row r="1439" spans="1:1">
      <c r="A1439" s="22"/>
    </row>
    <row r="1440" spans="1:1">
      <c r="A1440" s="22"/>
    </row>
    <row r="1441" spans="1:1">
      <c r="A1441" s="22"/>
    </row>
    <row r="1442" spans="1:1">
      <c r="A1442" s="22"/>
    </row>
    <row r="1443" spans="1:1">
      <c r="A1443" s="22"/>
    </row>
    <row r="1444" spans="1:1">
      <c r="A1444" s="22"/>
    </row>
    <row r="1445" spans="1:1">
      <c r="A1445" s="22"/>
    </row>
    <row r="1446" spans="1:1">
      <c r="A1446" s="22"/>
    </row>
    <row r="1447" spans="1:1">
      <c r="A1447" s="22"/>
    </row>
    <row r="1448" spans="1:1">
      <c r="A1448" s="22"/>
    </row>
    <row r="1449" spans="1:1">
      <c r="A1449" s="22"/>
    </row>
    <row r="1450" spans="1:1">
      <c r="A1450" s="22"/>
    </row>
    <row r="1451" spans="1:1">
      <c r="A1451" s="22"/>
    </row>
    <row r="1452" spans="1:1">
      <c r="A1452" s="22"/>
    </row>
    <row r="1453" spans="1:1">
      <c r="A1453" s="22"/>
    </row>
    <row r="1454" spans="1:1">
      <c r="A1454" s="22"/>
    </row>
    <row r="1455" spans="1:1">
      <c r="A1455" s="22"/>
    </row>
    <row r="1456" spans="1:1">
      <c r="A1456" s="22"/>
    </row>
    <row r="1457" spans="1:1">
      <c r="A1457" s="22"/>
    </row>
    <row r="1458" spans="1:1">
      <c r="A1458" s="22"/>
    </row>
    <row r="1459" spans="1:1">
      <c r="A1459" s="22"/>
    </row>
    <row r="1460" spans="1:1">
      <c r="A1460" s="22"/>
    </row>
    <row r="1461" spans="1:1">
      <c r="A1461" s="22"/>
    </row>
    <row r="1462" spans="1:1">
      <c r="A1462" s="22"/>
    </row>
    <row r="1463" spans="1:1">
      <c r="A1463" s="22"/>
    </row>
    <row r="1464" spans="1:1">
      <c r="A1464" s="22"/>
    </row>
    <row r="1465" spans="1:1">
      <c r="A1465" s="22"/>
    </row>
    <row r="1466" spans="1:1">
      <c r="A1466" s="22"/>
    </row>
    <row r="1467" spans="1:1">
      <c r="A1467" s="22"/>
    </row>
    <row r="1468" spans="1:1">
      <c r="A1468" s="22"/>
    </row>
    <row r="1469" spans="1:1">
      <c r="A1469" s="22"/>
    </row>
    <row r="1470" spans="1:1">
      <c r="A1470" s="22"/>
    </row>
    <row r="1471" spans="1:1">
      <c r="A1471" s="22"/>
    </row>
    <row r="1472" spans="1:1">
      <c r="A1472" s="22"/>
    </row>
    <row r="1473" spans="1:1">
      <c r="A1473" s="22"/>
    </row>
    <row r="1474" spans="1:1">
      <c r="A1474" s="22"/>
    </row>
    <row r="1475" spans="1:1">
      <c r="A1475" s="22"/>
    </row>
    <row r="1476" spans="1:1">
      <c r="A1476" s="22"/>
    </row>
    <row r="1477" spans="1:1">
      <c r="A1477" s="22"/>
    </row>
    <row r="1478" spans="1:1">
      <c r="A1478" s="22"/>
    </row>
    <row r="1479" spans="1:1">
      <c r="A1479" s="22"/>
    </row>
    <row r="1480" spans="1:1">
      <c r="A1480" s="22"/>
    </row>
    <row r="1481" spans="1:1">
      <c r="A1481" s="22"/>
    </row>
    <row r="1482" spans="1:1">
      <c r="A1482" s="22"/>
    </row>
    <row r="1483" spans="1:1">
      <c r="A1483" s="22"/>
    </row>
    <row r="1484" spans="1:1">
      <c r="A1484" s="22"/>
    </row>
    <row r="1485" spans="1:1">
      <c r="A1485" s="22"/>
    </row>
    <row r="1486" spans="1:1">
      <c r="A1486" s="22"/>
    </row>
    <row r="1487" spans="1:1">
      <c r="A1487" s="22"/>
    </row>
    <row r="1488" spans="1:1">
      <c r="A1488" s="22"/>
    </row>
    <row r="1489" spans="1:1">
      <c r="A1489" s="22"/>
    </row>
    <row r="1490" spans="1:1">
      <c r="A1490" s="22"/>
    </row>
    <row r="1491" spans="1:1">
      <c r="A1491" s="22"/>
    </row>
    <row r="1492" spans="1:1">
      <c r="A1492" s="22"/>
    </row>
    <row r="1493" spans="1:1">
      <c r="A1493" s="22"/>
    </row>
    <row r="1494" spans="1:1">
      <c r="A1494" s="22"/>
    </row>
    <row r="1495" spans="1:1">
      <c r="A1495" s="22"/>
    </row>
    <row r="1496" spans="1:1">
      <c r="A1496" s="22"/>
    </row>
    <row r="1497" spans="1:1">
      <c r="A1497" s="22"/>
    </row>
    <row r="1498" spans="1:1">
      <c r="A1498" s="22"/>
    </row>
    <row r="1499" spans="1:1">
      <c r="A1499" s="22"/>
    </row>
    <row r="1500" spans="1:1">
      <c r="A1500" s="22"/>
    </row>
    <row r="1501" spans="1:1">
      <c r="A1501" s="22"/>
    </row>
    <row r="1502" spans="1:1">
      <c r="A1502" s="22"/>
    </row>
    <row r="1503" spans="1:1">
      <c r="A1503" s="22"/>
    </row>
    <row r="1504" spans="1:1">
      <c r="A1504" s="22"/>
    </row>
    <row r="1505" spans="1:1">
      <c r="A1505" s="22"/>
    </row>
    <row r="1506" spans="1:1">
      <c r="A1506" s="22"/>
    </row>
    <row r="1507" spans="1:1">
      <c r="A1507" s="22"/>
    </row>
    <row r="1508" spans="1:1">
      <c r="A1508" s="22"/>
    </row>
    <row r="1509" spans="1:1">
      <c r="A1509" s="22"/>
    </row>
    <row r="1510" spans="1:1">
      <c r="A1510" s="22"/>
    </row>
    <row r="1511" spans="1:1">
      <c r="A1511" s="22"/>
    </row>
    <row r="1512" spans="1:1">
      <c r="A1512" s="22"/>
    </row>
    <row r="1513" spans="1:1">
      <c r="A1513" s="22"/>
    </row>
    <row r="1514" spans="1:1">
      <c r="A1514" s="22"/>
    </row>
    <row r="1515" spans="1:1">
      <c r="A1515" s="22"/>
    </row>
    <row r="1516" spans="1:1">
      <c r="A1516" s="22"/>
    </row>
    <row r="1517" spans="1:1">
      <c r="A1517" s="22"/>
    </row>
    <row r="1518" spans="1:1">
      <c r="A1518" s="22"/>
    </row>
    <row r="1519" spans="1:1">
      <c r="A1519" s="22"/>
    </row>
    <row r="1520" spans="1:1">
      <c r="A1520" s="22"/>
    </row>
    <row r="1521" spans="1:1">
      <c r="A1521" s="22"/>
    </row>
    <row r="1522" spans="1:1">
      <c r="A1522" s="22"/>
    </row>
    <row r="1523" spans="1:1">
      <c r="A1523" s="22"/>
    </row>
    <row r="1524" spans="1:1">
      <c r="A1524" s="22"/>
    </row>
    <row r="1525" spans="1:1">
      <c r="A1525" s="22"/>
    </row>
    <row r="1526" spans="1:1">
      <c r="A1526" s="22"/>
    </row>
    <row r="1527" spans="1:1">
      <c r="A1527" s="22"/>
    </row>
    <row r="1528" spans="1:1">
      <c r="A1528" s="22"/>
    </row>
    <row r="1529" spans="1:1">
      <c r="A1529" s="22"/>
    </row>
    <row r="1530" spans="1:1">
      <c r="A1530" s="22"/>
    </row>
    <row r="1531" spans="1:1">
      <c r="A1531" s="22"/>
    </row>
    <row r="1532" spans="1:1">
      <c r="A1532" s="22"/>
    </row>
    <row r="1533" spans="1:1">
      <c r="A1533" s="22"/>
    </row>
    <row r="1534" spans="1:1">
      <c r="A1534" s="22"/>
    </row>
    <row r="1535" spans="1:1">
      <c r="A1535" s="22"/>
    </row>
    <row r="1536" spans="1:1">
      <c r="A1536" s="22"/>
    </row>
    <row r="1537" spans="1:1">
      <c r="A1537" s="22"/>
    </row>
    <row r="1538" spans="1:1">
      <c r="A1538" s="22"/>
    </row>
    <row r="1539" spans="1:1">
      <c r="A1539" s="22"/>
    </row>
    <row r="1540" spans="1:1">
      <c r="A1540" s="22"/>
    </row>
    <row r="1541" spans="1:1">
      <c r="A1541" s="22"/>
    </row>
    <row r="1542" spans="1:1">
      <c r="A1542" s="22"/>
    </row>
    <row r="1543" spans="1:1">
      <c r="A1543" s="22"/>
    </row>
    <row r="1544" spans="1:1">
      <c r="A1544" s="22"/>
    </row>
    <row r="1545" spans="1:1">
      <c r="A1545" s="22"/>
    </row>
    <row r="1546" spans="1:1">
      <c r="A1546" s="22"/>
    </row>
    <row r="1547" spans="1:1">
      <c r="A1547" s="22"/>
    </row>
    <row r="1548" spans="1:1">
      <c r="A1548" s="22"/>
    </row>
    <row r="1549" spans="1:1">
      <c r="A1549" s="22"/>
    </row>
    <row r="1550" spans="1:1">
      <c r="A1550" s="22"/>
    </row>
    <row r="1551" spans="1:1">
      <c r="A1551" s="22"/>
    </row>
    <row r="1552" spans="1:1">
      <c r="A1552" s="22"/>
    </row>
    <row r="1553" spans="1:1">
      <c r="A1553" s="22"/>
    </row>
    <row r="1554" spans="1:1">
      <c r="A1554" s="22"/>
    </row>
    <row r="1555" spans="1:1">
      <c r="A1555" s="22"/>
    </row>
    <row r="1556" spans="1:1">
      <c r="A1556" s="22"/>
    </row>
    <row r="1557" spans="1:1">
      <c r="A1557" s="22"/>
    </row>
    <row r="1558" spans="1:1">
      <c r="A1558" s="22"/>
    </row>
    <row r="1559" spans="1:1">
      <c r="A1559" s="22"/>
    </row>
    <row r="1560" spans="1:1">
      <c r="A1560" s="22"/>
    </row>
    <row r="1561" spans="1:1">
      <c r="A1561" s="22"/>
    </row>
    <row r="1562" spans="1:1">
      <c r="A1562" s="22"/>
    </row>
    <row r="1563" spans="1:1">
      <c r="A1563" s="22"/>
    </row>
    <row r="1564" spans="1:1">
      <c r="A1564" s="22"/>
    </row>
    <row r="1565" spans="1:1">
      <c r="A1565" s="22"/>
    </row>
    <row r="1566" spans="1:1">
      <c r="A1566" s="22"/>
    </row>
    <row r="1567" spans="1:1">
      <c r="A1567" s="22"/>
    </row>
    <row r="1568" spans="1:1">
      <c r="A1568" s="22"/>
    </row>
    <row r="1569" spans="1:1">
      <c r="A1569" s="22"/>
    </row>
    <row r="1570" spans="1:1">
      <c r="A1570" s="22"/>
    </row>
    <row r="1571" spans="1:1">
      <c r="A1571" s="22"/>
    </row>
    <row r="1572" spans="1:1">
      <c r="A1572" s="22"/>
    </row>
    <row r="1573" spans="1:1">
      <c r="A1573" s="22"/>
    </row>
    <row r="1574" spans="1:1">
      <c r="A1574" s="22"/>
    </row>
    <row r="1575" spans="1:1">
      <c r="A1575" s="22"/>
    </row>
    <row r="1576" spans="1:1">
      <c r="A1576" s="22"/>
    </row>
    <row r="1577" spans="1:1">
      <c r="A1577" s="22"/>
    </row>
    <row r="1578" spans="1:1">
      <c r="A1578" s="22"/>
    </row>
    <row r="1579" spans="1:1">
      <c r="A1579" s="22"/>
    </row>
    <row r="1580" spans="1:1">
      <c r="A1580" s="22"/>
    </row>
    <row r="1581" spans="1:1">
      <c r="A1581" s="22"/>
    </row>
    <row r="1582" spans="1:1">
      <c r="A1582" s="22"/>
    </row>
    <row r="1583" spans="1:1">
      <c r="A1583" s="22"/>
    </row>
    <row r="1584" spans="1:1">
      <c r="A1584" s="22"/>
    </row>
    <row r="1585" spans="1:1">
      <c r="A1585" s="22"/>
    </row>
    <row r="1586" spans="1:1">
      <c r="A1586" s="22"/>
    </row>
    <row r="1587" spans="1:1">
      <c r="A1587" s="22"/>
    </row>
    <row r="1588" spans="1:1">
      <c r="A1588" s="22"/>
    </row>
    <row r="1589" spans="1:1">
      <c r="A1589" s="22"/>
    </row>
    <row r="1590" spans="1:1">
      <c r="A1590" s="22"/>
    </row>
    <row r="1591" spans="1:1">
      <c r="A1591" s="22"/>
    </row>
    <row r="1592" spans="1:1">
      <c r="A1592" s="22"/>
    </row>
    <row r="1593" spans="1:1">
      <c r="A1593" s="22"/>
    </row>
    <row r="1594" spans="1:1">
      <c r="A1594" s="22"/>
    </row>
    <row r="1595" spans="1:1">
      <c r="A1595" s="22"/>
    </row>
    <row r="1596" spans="1:1">
      <c r="A1596" s="22"/>
    </row>
    <row r="1597" spans="1:1">
      <c r="A1597" s="22"/>
    </row>
    <row r="1598" spans="1:1">
      <c r="A1598" s="22"/>
    </row>
    <row r="1599" spans="1:1">
      <c r="A1599" s="22"/>
    </row>
    <row r="1600" spans="1:1">
      <c r="A1600" s="22"/>
    </row>
    <row r="1601" spans="1:1">
      <c r="A1601" s="22"/>
    </row>
    <row r="1602" spans="1:1">
      <c r="A1602" s="22"/>
    </row>
    <row r="1603" spans="1:1">
      <c r="A1603" s="22"/>
    </row>
    <row r="1604" spans="1:1">
      <c r="A1604" s="22"/>
    </row>
    <row r="1605" spans="1:1">
      <c r="A1605" s="22"/>
    </row>
    <row r="1606" spans="1:1">
      <c r="A1606" s="22"/>
    </row>
    <row r="1607" spans="1:1">
      <c r="A1607" s="22"/>
    </row>
    <row r="1608" spans="1:1">
      <c r="A1608" s="22"/>
    </row>
    <row r="1609" spans="1:1">
      <c r="A1609" s="22"/>
    </row>
    <row r="1610" spans="1:1">
      <c r="A1610" s="22"/>
    </row>
    <row r="1611" spans="1:1">
      <c r="A1611" s="22"/>
    </row>
    <row r="1612" spans="1:1">
      <c r="A1612" s="22"/>
    </row>
    <row r="1613" spans="1:1">
      <c r="A1613" s="22"/>
    </row>
    <row r="1614" spans="1:1">
      <c r="A1614" s="22"/>
    </row>
    <row r="1615" spans="1:1">
      <c r="A1615" s="22"/>
    </row>
    <row r="1616" spans="1:1">
      <c r="A1616" s="22"/>
    </row>
    <row r="1617" spans="1:1">
      <c r="A1617" s="22"/>
    </row>
    <row r="1618" spans="1:1">
      <c r="A1618" s="22"/>
    </row>
    <row r="1619" spans="1:1">
      <c r="A1619" s="22"/>
    </row>
    <row r="1620" spans="1:1">
      <c r="A1620" s="22"/>
    </row>
    <row r="1621" spans="1:1">
      <c r="A1621" s="22"/>
    </row>
    <row r="1622" spans="1:1">
      <c r="A1622" s="22"/>
    </row>
    <row r="1623" spans="1:1">
      <c r="A1623" s="22"/>
    </row>
    <row r="1624" spans="1:1">
      <c r="A1624" s="22"/>
    </row>
    <row r="1625" spans="1:1">
      <c r="A1625" s="22"/>
    </row>
    <row r="1626" spans="1:1">
      <c r="A1626" s="22"/>
    </row>
    <row r="1627" spans="1:1">
      <c r="A1627" s="22"/>
    </row>
    <row r="1628" spans="1:1">
      <c r="A1628" s="22"/>
    </row>
    <row r="1629" spans="1:1">
      <c r="A1629" s="22"/>
    </row>
    <row r="1630" spans="1:1">
      <c r="A1630" s="22"/>
    </row>
    <row r="1631" spans="1:1">
      <c r="A1631" s="22"/>
    </row>
    <row r="1632" spans="1:1">
      <c r="A1632" s="22"/>
    </row>
    <row r="1633" spans="1:1">
      <c r="A1633" s="22"/>
    </row>
    <row r="1634" spans="1:1">
      <c r="A1634" s="22"/>
    </row>
    <row r="1635" spans="1:1">
      <c r="A1635" s="22"/>
    </row>
    <row r="1636" spans="1:1">
      <c r="A1636" s="22"/>
    </row>
    <row r="1637" spans="1:1">
      <c r="A1637" s="22"/>
    </row>
    <row r="1638" spans="1:1">
      <c r="A1638" s="22"/>
    </row>
    <row r="1639" spans="1:1">
      <c r="A1639" s="22"/>
    </row>
    <row r="1640" spans="1:1">
      <c r="A1640" s="22"/>
    </row>
    <row r="1641" spans="1:1">
      <c r="A1641" s="22"/>
    </row>
    <row r="1642" spans="1:1">
      <c r="A1642" s="22"/>
    </row>
    <row r="1643" spans="1:1">
      <c r="A1643" s="22"/>
    </row>
    <row r="1644" spans="1:1">
      <c r="A1644" s="22"/>
    </row>
    <row r="1645" spans="1:1">
      <c r="A1645" s="22"/>
    </row>
    <row r="1646" spans="1:1">
      <c r="A1646" s="22"/>
    </row>
    <row r="1647" spans="1:1">
      <c r="A1647" s="22"/>
    </row>
    <row r="1648" spans="1:1">
      <c r="A1648" s="22"/>
    </row>
    <row r="1649" spans="1:1">
      <c r="A1649" s="22"/>
    </row>
    <row r="1650" spans="1:1">
      <c r="A1650" s="22"/>
    </row>
    <row r="1651" spans="1:1">
      <c r="A1651" s="22"/>
    </row>
    <row r="1652" spans="1:1">
      <c r="A1652" s="22"/>
    </row>
    <row r="1653" spans="1:1">
      <c r="A1653" s="22"/>
    </row>
    <row r="1654" spans="1:1">
      <c r="A1654" s="22"/>
    </row>
    <row r="1655" spans="1:1">
      <c r="A1655" s="22"/>
    </row>
    <row r="1656" spans="1:1">
      <c r="A1656" s="22"/>
    </row>
    <row r="1657" spans="1:1">
      <c r="A1657" s="22"/>
    </row>
    <row r="1658" spans="1:1">
      <c r="A1658" s="22"/>
    </row>
    <row r="1659" spans="1:1">
      <c r="A1659" s="22"/>
    </row>
    <row r="1660" spans="1:1">
      <c r="A1660" s="22"/>
    </row>
    <row r="1661" spans="1:1">
      <c r="A1661" s="22"/>
    </row>
    <row r="1662" spans="1:1">
      <c r="A1662" s="22"/>
    </row>
    <row r="1663" spans="1:1">
      <c r="A1663" s="22"/>
    </row>
    <row r="1664" spans="1:1">
      <c r="A1664" s="22"/>
    </row>
    <row r="1665" spans="1:1">
      <c r="A1665" s="22"/>
    </row>
    <row r="1666" spans="1:1">
      <c r="A1666" s="22"/>
    </row>
    <row r="1667" spans="1:1">
      <c r="A1667" s="22"/>
    </row>
    <row r="1668" spans="1:1">
      <c r="A1668" s="22"/>
    </row>
    <row r="1669" spans="1:1">
      <c r="A1669" s="22"/>
    </row>
    <row r="1670" spans="1:1">
      <c r="A1670" s="22"/>
    </row>
    <row r="1671" spans="1:1">
      <c r="A1671" s="22"/>
    </row>
    <row r="1672" spans="1:1">
      <c r="A1672" s="22"/>
    </row>
    <row r="1673" spans="1:1">
      <c r="A1673" s="22"/>
    </row>
    <row r="1674" spans="1:1">
      <c r="A1674" s="22"/>
    </row>
    <row r="1675" spans="1:1">
      <c r="A1675" s="22"/>
    </row>
    <row r="1676" spans="1:1">
      <c r="A1676" s="22"/>
    </row>
    <row r="1677" spans="1:1">
      <c r="A1677" s="22"/>
    </row>
    <row r="1678" spans="1:1">
      <c r="A1678" s="22"/>
    </row>
    <row r="1679" spans="1:1">
      <c r="A1679" s="22"/>
    </row>
    <row r="1680" spans="1:1">
      <c r="A1680" s="22"/>
    </row>
    <row r="1681" spans="1:1">
      <c r="A1681" s="22"/>
    </row>
    <row r="1682" spans="1:1">
      <c r="A1682" s="22"/>
    </row>
    <row r="1683" spans="1:1">
      <c r="A1683" s="22"/>
    </row>
    <row r="1684" spans="1:1">
      <c r="A1684" s="22"/>
    </row>
    <row r="1685" spans="1:1">
      <c r="A1685" s="22"/>
    </row>
    <row r="1686" spans="1:1">
      <c r="A1686" s="22"/>
    </row>
    <row r="1687" spans="1:1">
      <c r="A1687" s="22"/>
    </row>
    <row r="1688" spans="1:1">
      <c r="A1688" s="22"/>
    </row>
    <row r="1689" spans="1:1">
      <c r="A1689" s="22"/>
    </row>
    <row r="1690" spans="1:1">
      <c r="A1690" s="22"/>
    </row>
    <row r="1691" spans="1:1">
      <c r="A1691" s="22"/>
    </row>
    <row r="1692" spans="1:1">
      <c r="A1692" s="22"/>
    </row>
    <row r="1693" spans="1:1">
      <c r="A1693" s="22"/>
    </row>
    <row r="1694" spans="1:1">
      <c r="A1694" s="22"/>
    </row>
    <row r="1695" spans="1:1">
      <c r="A1695" s="22"/>
    </row>
    <row r="1696" spans="1:1">
      <c r="A1696" s="22"/>
    </row>
    <row r="1697" spans="1:1">
      <c r="A1697" s="22"/>
    </row>
    <row r="1698" spans="1:1">
      <c r="A1698" s="22"/>
    </row>
    <row r="1699" spans="1:1">
      <c r="A1699" s="22"/>
    </row>
    <row r="1700" spans="1:1">
      <c r="A1700" s="22"/>
    </row>
    <row r="1701" spans="1:1">
      <c r="A1701" s="22"/>
    </row>
    <row r="1702" spans="1:1">
      <c r="A1702" s="22"/>
    </row>
    <row r="1703" spans="1:1">
      <c r="A1703" s="22"/>
    </row>
    <row r="1704" spans="1:1">
      <c r="A1704" s="22"/>
    </row>
    <row r="1705" spans="1:1">
      <c r="A1705" s="22"/>
    </row>
    <row r="1706" spans="1:1">
      <c r="A1706" s="22"/>
    </row>
    <row r="1707" spans="1:1">
      <c r="A1707" s="22"/>
    </row>
    <row r="1708" spans="1:1">
      <c r="A1708" s="22"/>
    </row>
    <row r="1709" spans="1:1">
      <c r="A1709" s="22"/>
    </row>
    <row r="1710" spans="1:1">
      <c r="A1710" s="22"/>
    </row>
    <row r="1711" spans="1:1">
      <c r="A1711" s="22"/>
    </row>
    <row r="1712" spans="1:1">
      <c r="A1712" s="22"/>
    </row>
    <row r="1713" spans="1:1">
      <c r="A1713" s="22"/>
    </row>
    <row r="1714" spans="1:1">
      <c r="A1714" s="22"/>
    </row>
    <row r="1715" spans="1:1">
      <c r="A1715" s="22"/>
    </row>
    <row r="1716" spans="1:1">
      <c r="A1716" s="22"/>
    </row>
    <row r="1717" spans="1:1">
      <c r="A1717" s="22"/>
    </row>
    <row r="1718" spans="1:1">
      <c r="A1718" s="22"/>
    </row>
    <row r="1719" spans="1:1">
      <c r="A1719" s="22"/>
    </row>
    <row r="1720" spans="1:1">
      <c r="A1720" s="22"/>
    </row>
    <row r="1721" spans="1:1">
      <c r="A1721" s="22"/>
    </row>
    <row r="1722" spans="1:1">
      <c r="A1722" s="22"/>
    </row>
    <row r="1723" spans="1:1">
      <c r="A1723" s="22"/>
    </row>
    <row r="1724" spans="1:1">
      <c r="A1724" s="22"/>
    </row>
    <row r="1725" spans="1:1">
      <c r="A1725" s="22"/>
    </row>
    <row r="1726" spans="1:1">
      <c r="A1726" s="22"/>
    </row>
    <row r="1727" spans="1:1">
      <c r="A1727" s="22"/>
    </row>
    <row r="1728" spans="1:1">
      <c r="A1728" s="22"/>
    </row>
    <row r="1729" spans="1:1">
      <c r="A1729" s="22"/>
    </row>
    <row r="1730" spans="1:1">
      <c r="A1730" s="22"/>
    </row>
    <row r="1731" spans="1:1">
      <c r="A1731" s="22"/>
    </row>
    <row r="1732" spans="1:1">
      <c r="A1732" s="22"/>
    </row>
    <row r="1733" spans="1:1">
      <c r="A1733" s="22"/>
    </row>
    <row r="1734" spans="1:1">
      <c r="A1734" s="22"/>
    </row>
    <row r="1735" spans="1:1">
      <c r="A1735" s="22"/>
    </row>
    <row r="1736" spans="1:1">
      <c r="A1736" s="22"/>
    </row>
    <row r="1737" spans="1:1">
      <c r="A1737" s="22"/>
    </row>
    <row r="1738" spans="1:1">
      <c r="A1738" s="22"/>
    </row>
    <row r="1739" spans="1:1">
      <c r="A1739" s="22"/>
    </row>
    <row r="1740" spans="1:1">
      <c r="A1740" s="22"/>
    </row>
    <row r="1741" spans="1:1">
      <c r="A1741" s="22"/>
    </row>
    <row r="1742" spans="1:1">
      <c r="A1742" s="22"/>
    </row>
    <row r="1743" spans="1:1">
      <c r="A1743" s="22"/>
    </row>
    <row r="1744" spans="1:1">
      <c r="A1744" s="22"/>
    </row>
    <row r="1745" spans="1:1">
      <c r="A1745" s="22"/>
    </row>
    <row r="1746" spans="1:1">
      <c r="A1746" s="22"/>
    </row>
    <row r="1747" spans="1:1">
      <c r="A1747" s="22"/>
    </row>
    <row r="1748" spans="1:1">
      <c r="A1748" s="22"/>
    </row>
    <row r="1749" spans="1:1">
      <c r="A1749" s="22"/>
    </row>
    <row r="1750" spans="1:1">
      <c r="A1750" s="22"/>
    </row>
    <row r="1751" spans="1:1">
      <c r="A1751" s="22"/>
    </row>
    <row r="1752" spans="1:1">
      <c r="A1752" s="22"/>
    </row>
    <row r="1753" spans="1:1">
      <c r="A1753" s="22"/>
    </row>
    <row r="1754" spans="1:1">
      <c r="A1754" s="22"/>
    </row>
    <row r="1755" spans="1:1">
      <c r="A1755" s="22"/>
    </row>
    <row r="1756" spans="1:1">
      <c r="A1756" s="22"/>
    </row>
    <row r="1757" spans="1:1">
      <c r="A1757" s="22"/>
    </row>
    <row r="1758" spans="1:1">
      <c r="A1758" s="22"/>
    </row>
    <row r="1759" spans="1:1">
      <c r="A1759" s="22"/>
    </row>
    <row r="1760" spans="1:1">
      <c r="A1760" s="22"/>
    </row>
    <row r="1761" spans="1:1">
      <c r="A1761" s="22"/>
    </row>
    <row r="1762" spans="1:1">
      <c r="A1762" s="22"/>
    </row>
    <row r="1763" spans="1:1">
      <c r="A1763" s="22"/>
    </row>
    <row r="1764" spans="1:1">
      <c r="A1764" s="22"/>
    </row>
    <row r="1765" spans="1:1">
      <c r="A1765" s="22"/>
    </row>
    <row r="1766" spans="1:1">
      <c r="A1766" s="22"/>
    </row>
    <row r="1767" spans="1:1">
      <c r="A1767" s="22"/>
    </row>
    <row r="1768" spans="1:1">
      <c r="A1768" s="22"/>
    </row>
    <row r="1769" spans="1:1">
      <c r="A1769" s="22"/>
    </row>
    <row r="1770" spans="1:1">
      <c r="A1770" s="22"/>
    </row>
    <row r="1771" spans="1:1">
      <c r="A1771" s="22"/>
    </row>
    <row r="1772" spans="1:1">
      <c r="A1772" s="22"/>
    </row>
    <row r="1773" spans="1:1">
      <c r="A1773" s="22"/>
    </row>
    <row r="1774" spans="1:1">
      <c r="A1774" s="22"/>
    </row>
    <row r="1775" spans="1:1">
      <c r="A1775" s="22"/>
    </row>
    <row r="1776" spans="1:1">
      <c r="A1776" s="22"/>
    </row>
    <row r="1777" spans="1:1">
      <c r="A1777" s="22"/>
    </row>
    <row r="1778" spans="1:1">
      <c r="A1778" s="22"/>
    </row>
    <row r="1779" spans="1:1">
      <c r="A1779" s="22"/>
    </row>
    <row r="1780" spans="1:1">
      <c r="A1780" s="22"/>
    </row>
    <row r="1781" spans="1:1">
      <c r="A1781" s="22"/>
    </row>
    <row r="1782" spans="1:1">
      <c r="A1782" s="22"/>
    </row>
    <row r="1783" spans="1:1">
      <c r="A1783" s="22"/>
    </row>
    <row r="1784" spans="1:1">
      <c r="A1784" s="22"/>
    </row>
    <row r="1785" spans="1:1">
      <c r="A1785" s="22"/>
    </row>
    <row r="1786" spans="1:1">
      <c r="A1786" s="22"/>
    </row>
    <row r="1787" spans="1:1">
      <c r="A1787" s="22"/>
    </row>
    <row r="1788" spans="1:1">
      <c r="A1788" s="22"/>
    </row>
    <row r="1789" spans="1:1">
      <c r="A1789" s="22"/>
    </row>
    <row r="1790" spans="1:1">
      <c r="A1790" s="22"/>
    </row>
    <row r="1791" spans="1:1">
      <c r="A1791" s="22"/>
    </row>
    <row r="1792" spans="1:1">
      <c r="A1792" s="22"/>
    </row>
    <row r="1793" spans="1:1">
      <c r="A1793" s="22"/>
    </row>
    <row r="1794" spans="1:1">
      <c r="A1794" s="22"/>
    </row>
    <row r="1795" spans="1:1">
      <c r="A1795" s="22"/>
    </row>
    <row r="1796" spans="1:1">
      <c r="A1796" s="22"/>
    </row>
    <row r="1797" spans="1:1">
      <c r="A1797" s="22"/>
    </row>
    <row r="1798" spans="1:1">
      <c r="A1798" s="22"/>
    </row>
    <row r="1799" spans="1:1">
      <c r="A1799" s="22"/>
    </row>
    <row r="1800" spans="1:1">
      <c r="A1800" s="22"/>
    </row>
    <row r="1801" spans="1:1">
      <c r="A1801" s="22"/>
    </row>
    <row r="1802" spans="1:1">
      <c r="A1802" s="22"/>
    </row>
    <row r="1803" spans="1:1">
      <c r="A1803" s="22"/>
    </row>
    <row r="1804" spans="1:1">
      <c r="A1804" s="22"/>
    </row>
    <row r="1805" spans="1:1">
      <c r="A1805" s="22"/>
    </row>
    <row r="1806" spans="1:1">
      <c r="A1806" s="22"/>
    </row>
    <row r="1807" spans="1:1">
      <c r="A1807" s="22"/>
    </row>
    <row r="1808" spans="1:1">
      <c r="A1808" s="22"/>
    </row>
    <row r="1809" spans="1:1">
      <c r="A1809" s="22"/>
    </row>
    <row r="1810" spans="1:1">
      <c r="A1810" s="22"/>
    </row>
    <row r="1811" spans="1:1">
      <c r="A1811" s="22"/>
    </row>
    <row r="1812" spans="1:1">
      <c r="A1812" s="22"/>
    </row>
    <row r="1813" spans="1:1">
      <c r="A1813" s="22"/>
    </row>
    <row r="1814" spans="1:1">
      <c r="A1814" s="22"/>
    </row>
    <row r="1815" spans="1:1">
      <c r="A1815" s="22"/>
    </row>
    <row r="1816" spans="1:1">
      <c r="A1816" s="22"/>
    </row>
    <row r="1817" spans="1:1">
      <c r="A1817" s="22"/>
    </row>
    <row r="1818" spans="1:1">
      <c r="A1818" s="22"/>
    </row>
    <row r="1819" spans="1:1">
      <c r="A1819" s="22"/>
    </row>
    <row r="1820" spans="1:1">
      <c r="A1820" s="22"/>
    </row>
    <row r="1821" spans="1:1">
      <c r="A1821" s="22"/>
    </row>
    <row r="1822" spans="1:1">
      <c r="A1822" s="22"/>
    </row>
    <row r="1823" spans="1:1">
      <c r="A1823" s="22"/>
    </row>
    <row r="1824" spans="1:1">
      <c r="A1824" s="22"/>
    </row>
    <row r="1825" spans="1:1">
      <c r="A1825" s="22"/>
    </row>
    <row r="1826" spans="1:1">
      <c r="A1826" s="22"/>
    </row>
    <row r="1827" spans="1:1">
      <c r="A1827" s="22"/>
    </row>
    <row r="1828" spans="1:1">
      <c r="A1828" s="22"/>
    </row>
    <row r="1829" spans="1:1">
      <c r="A1829" s="22"/>
    </row>
    <row r="1830" spans="1:1">
      <c r="A1830" s="22"/>
    </row>
    <row r="1831" spans="1:1">
      <c r="A1831" s="22"/>
    </row>
    <row r="1832" spans="1:1">
      <c r="A1832" s="22"/>
    </row>
    <row r="1833" spans="1:1">
      <c r="A1833" s="22"/>
    </row>
    <row r="1834" spans="1:1">
      <c r="A1834" s="22"/>
    </row>
    <row r="1835" spans="1:1">
      <c r="A1835" s="22"/>
    </row>
    <row r="1836" spans="1:1">
      <c r="A1836" s="22"/>
    </row>
    <row r="1837" spans="1:1">
      <c r="A1837" s="22"/>
    </row>
    <row r="1838" spans="1:1">
      <c r="A1838" s="22"/>
    </row>
    <row r="1839" spans="1:1">
      <c r="A1839" s="22"/>
    </row>
    <row r="1840" spans="1:1">
      <c r="A1840" s="22"/>
    </row>
    <row r="1841" spans="1:1">
      <c r="A1841" s="22"/>
    </row>
    <row r="1842" spans="1:1">
      <c r="A1842" s="22"/>
    </row>
    <row r="1843" spans="1:1">
      <c r="A1843" s="22"/>
    </row>
    <row r="1844" spans="1:1">
      <c r="A1844" s="22"/>
    </row>
    <row r="1845" spans="1:1">
      <c r="A1845" s="22"/>
    </row>
    <row r="1846" spans="1:1">
      <c r="A1846" s="22"/>
    </row>
    <row r="1847" spans="1:1">
      <c r="A1847" s="22"/>
    </row>
    <row r="1848" spans="1:1">
      <c r="A1848" s="22"/>
    </row>
    <row r="1849" spans="1:1">
      <c r="A1849" s="22"/>
    </row>
    <row r="1850" spans="1:1">
      <c r="A1850" s="22"/>
    </row>
    <row r="1851" spans="1:1">
      <c r="A1851" s="22"/>
    </row>
    <row r="1852" spans="1:1">
      <c r="A1852" s="22"/>
    </row>
    <row r="1853" spans="1:1">
      <c r="A1853" s="22"/>
    </row>
    <row r="1854" spans="1:1">
      <c r="A1854" s="22"/>
    </row>
    <row r="1855" spans="1:1">
      <c r="A1855" s="22"/>
    </row>
    <row r="1856" spans="1:1">
      <c r="A1856" s="22"/>
    </row>
    <row r="1857" spans="1:1">
      <c r="A1857" s="22"/>
    </row>
    <row r="1858" spans="1:1">
      <c r="A1858" s="22"/>
    </row>
    <row r="1859" spans="1:1">
      <c r="A1859" s="22"/>
    </row>
    <row r="1860" spans="1:1">
      <c r="A1860" s="22"/>
    </row>
    <row r="1861" spans="1:1">
      <c r="A1861" s="22"/>
    </row>
    <row r="1862" spans="1:1">
      <c r="A1862" s="22"/>
    </row>
    <row r="1863" spans="1:1">
      <c r="A1863" s="22"/>
    </row>
    <row r="1864" spans="1:1">
      <c r="A1864" s="22"/>
    </row>
    <row r="1865" spans="1:1">
      <c r="A1865" s="22"/>
    </row>
    <row r="1866" spans="1:1">
      <c r="A1866" s="22"/>
    </row>
    <row r="1867" spans="1:1">
      <c r="A1867" s="22"/>
    </row>
    <row r="1868" spans="1:1">
      <c r="A1868" s="22"/>
    </row>
    <row r="1869" spans="1:1">
      <c r="A1869" s="22"/>
    </row>
    <row r="1870" spans="1:1">
      <c r="A1870" s="22"/>
    </row>
    <row r="1871" spans="1:1">
      <c r="A1871" s="22"/>
    </row>
    <row r="1872" spans="1:1">
      <c r="A1872" s="22"/>
    </row>
    <row r="1873" spans="1:1">
      <c r="A1873" s="22"/>
    </row>
    <row r="1874" spans="1:1">
      <c r="A1874" s="22"/>
    </row>
    <row r="1875" spans="1:1">
      <c r="A1875" s="22"/>
    </row>
    <row r="1876" spans="1:1">
      <c r="A1876" s="22"/>
    </row>
    <row r="1877" spans="1:1">
      <c r="A1877" s="22"/>
    </row>
    <row r="1878" spans="1:1">
      <c r="A1878" s="22"/>
    </row>
    <row r="1879" spans="1:1">
      <c r="A1879" s="22"/>
    </row>
    <row r="1880" spans="1:1">
      <c r="A1880" s="22"/>
    </row>
    <row r="1881" spans="1:1">
      <c r="A1881" s="22"/>
    </row>
    <row r="1882" spans="1:1">
      <c r="A1882" s="22"/>
    </row>
    <row r="1883" spans="1:1">
      <c r="A1883" s="22"/>
    </row>
    <row r="1884" spans="1:1">
      <c r="A1884" s="22"/>
    </row>
    <row r="1885" spans="1:1">
      <c r="A1885" s="22"/>
    </row>
    <row r="1886" spans="1:1">
      <c r="A1886" s="22"/>
    </row>
    <row r="1887" spans="1:1">
      <c r="A1887" s="22"/>
    </row>
    <row r="1888" spans="1:1">
      <c r="A1888" s="22"/>
    </row>
    <row r="1889" spans="1:1">
      <c r="A1889" s="22"/>
    </row>
    <row r="1890" spans="1:1">
      <c r="A1890" s="22"/>
    </row>
    <row r="1891" spans="1:1">
      <c r="A1891" s="22"/>
    </row>
    <row r="1892" spans="1:1">
      <c r="A1892" s="22"/>
    </row>
    <row r="1893" spans="1:1">
      <c r="A1893" s="22"/>
    </row>
    <row r="1894" spans="1:1">
      <c r="A1894" s="22"/>
    </row>
    <row r="1895" spans="1:1">
      <c r="A1895" s="22"/>
    </row>
    <row r="1896" spans="1:1">
      <c r="A1896" s="22"/>
    </row>
    <row r="1897" spans="1:1">
      <c r="A1897" s="22"/>
    </row>
    <row r="1898" spans="1:1">
      <c r="A1898" s="22"/>
    </row>
    <row r="1899" spans="1:1">
      <c r="A1899" s="22"/>
    </row>
    <row r="1900" spans="1:1">
      <c r="A1900" s="22"/>
    </row>
    <row r="1901" spans="1:1">
      <c r="A1901" s="22"/>
    </row>
    <row r="1902" spans="1:1">
      <c r="A1902" s="22"/>
    </row>
    <row r="1903" spans="1:1">
      <c r="A1903" s="22"/>
    </row>
    <row r="1904" spans="1:1">
      <c r="A1904" s="22"/>
    </row>
    <row r="1905" spans="1:1">
      <c r="A1905" s="22"/>
    </row>
    <row r="1906" spans="1:1">
      <c r="A1906" s="22"/>
    </row>
    <row r="1907" spans="1:1">
      <c r="A1907" s="22"/>
    </row>
    <row r="1908" spans="1:1">
      <c r="A1908" s="22"/>
    </row>
    <row r="1909" spans="1:1">
      <c r="A1909" s="22"/>
    </row>
    <row r="1910" spans="1:1">
      <c r="A1910" s="22"/>
    </row>
    <row r="1911" spans="1:1">
      <c r="A1911" s="22"/>
    </row>
    <row r="1912" spans="1:1">
      <c r="A1912" s="22"/>
    </row>
    <row r="1913" spans="1:1">
      <c r="A1913" s="22"/>
    </row>
    <row r="1914" spans="1:1">
      <c r="A1914" s="22"/>
    </row>
    <row r="1915" spans="1:1">
      <c r="A1915" s="22"/>
    </row>
    <row r="1916" spans="1:1">
      <c r="A1916" s="22"/>
    </row>
    <row r="1917" spans="1:1">
      <c r="A1917" s="22"/>
    </row>
    <row r="1918" spans="1:1">
      <c r="A1918" s="22"/>
    </row>
    <row r="1919" spans="1:1">
      <c r="A1919" s="22"/>
    </row>
    <row r="1920" spans="1:1">
      <c r="A1920" s="22"/>
    </row>
    <row r="1921" spans="1:1">
      <c r="A1921" s="22"/>
    </row>
    <row r="1922" spans="1:1">
      <c r="A1922" s="22"/>
    </row>
    <row r="1923" spans="1:1">
      <c r="A1923" s="22"/>
    </row>
    <row r="1924" spans="1:1">
      <c r="A1924" s="22"/>
    </row>
    <row r="1925" spans="1:1">
      <c r="A1925" s="22"/>
    </row>
    <row r="1926" spans="1:1">
      <c r="A1926" s="22"/>
    </row>
    <row r="1927" spans="1:1">
      <c r="A1927" s="22"/>
    </row>
    <row r="1928" spans="1:1">
      <c r="A1928" s="22"/>
    </row>
    <row r="1929" spans="1:1">
      <c r="A1929" s="22"/>
    </row>
    <row r="1930" spans="1:1">
      <c r="A1930" s="22"/>
    </row>
    <row r="1931" spans="1:1">
      <c r="A1931" s="22"/>
    </row>
    <row r="1932" spans="1:1">
      <c r="A1932" s="22"/>
    </row>
    <row r="1933" spans="1:1">
      <c r="A1933" s="22"/>
    </row>
    <row r="1934" spans="1:1">
      <c r="A1934" s="22"/>
    </row>
    <row r="1935" spans="1:1">
      <c r="A1935" s="22"/>
    </row>
    <row r="1936" spans="1:1">
      <c r="A1936" s="22"/>
    </row>
    <row r="1937" spans="1:1">
      <c r="A1937" s="22"/>
    </row>
    <row r="1938" spans="1:1">
      <c r="A1938" s="22"/>
    </row>
    <row r="1939" spans="1:1">
      <c r="A1939" s="22"/>
    </row>
    <row r="1940" spans="1:1">
      <c r="A1940" s="22"/>
    </row>
    <row r="1941" spans="1:1">
      <c r="A1941" s="22"/>
    </row>
    <row r="1942" spans="1:1">
      <c r="A1942" s="22"/>
    </row>
    <row r="1943" spans="1:1">
      <c r="A1943" s="22"/>
    </row>
    <row r="1944" spans="1:1">
      <c r="A1944" s="22"/>
    </row>
    <row r="1945" spans="1:1">
      <c r="A1945" s="22"/>
    </row>
    <row r="1946" spans="1:1">
      <c r="A1946" s="22"/>
    </row>
    <row r="1947" spans="1:1">
      <c r="A1947" s="22"/>
    </row>
    <row r="1948" spans="1:1">
      <c r="A1948" s="22"/>
    </row>
    <row r="1949" spans="1:1">
      <c r="A1949" s="22"/>
    </row>
    <row r="1950" spans="1:1">
      <c r="A1950" s="22"/>
    </row>
    <row r="1951" spans="1:1">
      <c r="A1951" s="22"/>
    </row>
    <row r="1952" spans="1:1">
      <c r="A1952" s="22"/>
    </row>
    <row r="1953" spans="1:1">
      <c r="A1953" s="22"/>
    </row>
    <row r="1954" spans="1:1">
      <c r="A1954" s="22"/>
    </row>
    <row r="1955" spans="1:1">
      <c r="A1955" s="22"/>
    </row>
    <row r="1956" spans="1:1">
      <c r="A1956" s="22"/>
    </row>
    <row r="1957" spans="1:1">
      <c r="A1957" s="22"/>
    </row>
    <row r="1958" spans="1:1">
      <c r="A1958" s="22"/>
    </row>
    <row r="1959" spans="1:1">
      <c r="A1959" s="22"/>
    </row>
    <row r="1960" spans="1:1">
      <c r="A1960" s="22"/>
    </row>
    <row r="1961" spans="1:1">
      <c r="A1961" s="22"/>
    </row>
    <row r="1962" spans="1:1">
      <c r="A1962" s="22"/>
    </row>
    <row r="1963" spans="1:1">
      <c r="A1963" s="22"/>
    </row>
    <row r="1964" spans="1:1">
      <c r="A1964" s="22"/>
    </row>
    <row r="1965" spans="1:1">
      <c r="A1965" s="22"/>
    </row>
    <row r="1966" spans="1:1">
      <c r="A1966" s="22"/>
    </row>
    <row r="1967" spans="1:1">
      <c r="A1967" s="22"/>
    </row>
    <row r="1968" spans="1:1">
      <c r="A1968" s="22"/>
    </row>
    <row r="1969" spans="1:1">
      <c r="A1969" s="22"/>
    </row>
    <row r="1970" spans="1:1">
      <c r="A1970" s="22"/>
    </row>
    <row r="1971" spans="1:1">
      <c r="A1971" s="22"/>
    </row>
    <row r="1972" spans="1:1">
      <c r="A1972" s="22"/>
    </row>
    <row r="1973" spans="1:1">
      <c r="A1973" s="22"/>
    </row>
    <row r="1974" spans="1:1">
      <c r="A1974" s="22"/>
    </row>
    <row r="1975" spans="1:1">
      <c r="A1975" s="22"/>
    </row>
    <row r="1976" spans="1:1">
      <c r="A1976" s="22"/>
    </row>
    <row r="1977" spans="1:1">
      <c r="A1977" s="22"/>
    </row>
    <row r="1978" spans="1:1">
      <c r="A1978" s="22"/>
    </row>
    <row r="1979" spans="1:1">
      <c r="A1979" s="22"/>
    </row>
    <row r="1980" spans="1:1">
      <c r="A1980" s="22"/>
    </row>
    <row r="1981" spans="1:1">
      <c r="A1981" s="22"/>
    </row>
    <row r="1982" spans="1:1">
      <c r="A1982" s="22"/>
    </row>
    <row r="1983" spans="1:1">
      <c r="A1983" s="22"/>
    </row>
    <row r="1984" spans="1:1">
      <c r="A1984" s="22"/>
    </row>
    <row r="1985" spans="1:1">
      <c r="A1985" s="22"/>
    </row>
    <row r="1986" spans="1:1">
      <c r="A1986" s="22"/>
    </row>
    <row r="1987" spans="1:1">
      <c r="A1987" s="22"/>
    </row>
    <row r="1988" spans="1:1">
      <c r="A1988" s="22"/>
    </row>
    <row r="1989" spans="1:1">
      <c r="A1989" s="22"/>
    </row>
    <row r="1990" spans="1:1">
      <c r="A1990" s="22"/>
    </row>
    <row r="1991" spans="1:1">
      <c r="A1991" s="22"/>
    </row>
    <row r="1992" spans="1:1">
      <c r="A1992" s="22"/>
    </row>
    <row r="1993" spans="1:1">
      <c r="A1993" s="22"/>
    </row>
    <row r="1994" spans="1:1">
      <c r="A1994" s="22"/>
    </row>
    <row r="1995" spans="1:1">
      <c r="A1995" s="22"/>
    </row>
    <row r="1996" spans="1:1">
      <c r="A1996" s="22"/>
    </row>
    <row r="1997" spans="1:1">
      <c r="A1997" s="22"/>
    </row>
    <row r="1998" spans="1:1">
      <c r="A1998" s="22"/>
    </row>
    <row r="1999" spans="1:1">
      <c r="A1999" s="22"/>
    </row>
    <row r="2000" spans="1:1">
      <c r="A2000" s="22"/>
    </row>
    <row r="2001" spans="1:1">
      <c r="A2001" s="22"/>
    </row>
    <row r="2002" spans="1:1">
      <c r="A2002" s="22"/>
    </row>
    <row r="2003" spans="1:1">
      <c r="A2003" s="22"/>
    </row>
    <row r="2004" spans="1:1">
      <c r="A2004" s="22"/>
    </row>
    <row r="2005" spans="1:1">
      <c r="A2005" s="22"/>
    </row>
    <row r="2006" spans="1:1">
      <c r="A2006" s="22"/>
    </row>
    <row r="2007" spans="1:1">
      <c r="A2007" s="22"/>
    </row>
    <row r="2008" spans="1:1">
      <c r="A2008" s="22"/>
    </row>
    <row r="2009" spans="1:1">
      <c r="A2009" s="22"/>
    </row>
    <row r="2010" spans="1:1">
      <c r="A2010" s="22"/>
    </row>
    <row r="2011" spans="1:1">
      <c r="A2011" s="22"/>
    </row>
    <row r="2012" spans="1:1">
      <c r="A2012" s="22"/>
    </row>
    <row r="2013" spans="1:1">
      <c r="A2013" s="22"/>
    </row>
    <row r="2014" spans="1:1">
      <c r="A2014" s="22"/>
    </row>
    <row r="2015" spans="1:1">
      <c r="A2015" s="22"/>
    </row>
    <row r="2016" spans="1:1">
      <c r="A2016" s="22"/>
    </row>
    <row r="2017" spans="1:1">
      <c r="A2017" s="22"/>
    </row>
    <row r="2018" spans="1:1">
      <c r="A2018" s="22"/>
    </row>
    <row r="2019" spans="1:1">
      <c r="A2019" s="22"/>
    </row>
    <row r="2020" spans="1:1">
      <c r="A2020" s="22"/>
    </row>
    <row r="2021" spans="1:1">
      <c r="A2021" s="22"/>
    </row>
    <row r="2022" spans="1:1">
      <c r="A2022" s="22"/>
    </row>
    <row r="2023" spans="1:1">
      <c r="A2023" s="22"/>
    </row>
    <row r="2024" spans="1:1">
      <c r="A2024" s="22"/>
    </row>
    <row r="2025" spans="1:1">
      <c r="A2025" s="22"/>
    </row>
    <row r="2026" spans="1:1">
      <c r="A2026" s="22"/>
    </row>
    <row r="2027" spans="1:1">
      <c r="A2027" s="22"/>
    </row>
    <row r="2028" spans="1:1">
      <c r="A2028" s="22"/>
    </row>
    <row r="2029" spans="1:1">
      <c r="A2029" s="22"/>
    </row>
    <row r="2030" spans="1:1">
      <c r="A2030" s="22"/>
    </row>
    <row r="2031" spans="1:1">
      <c r="A2031" s="22"/>
    </row>
    <row r="2032" spans="1:1">
      <c r="A2032" s="22"/>
    </row>
    <row r="2033" spans="1:1">
      <c r="A2033" s="22"/>
    </row>
    <row r="2034" spans="1:1">
      <c r="A2034" s="22"/>
    </row>
    <row r="2035" spans="1:1">
      <c r="A2035" s="22"/>
    </row>
    <row r="2036" spans="1:1">
      <c r="A2036" s="22"/>
    </row>
    <row r="2037" spans="1:1">
      <c r="A2037" s="22"/>
    </row>
    <row r="2038" spans="1:1">
      <c r="A2038" s="22"/>
    </row>
    <row r="2039" spans="1:1">
      <c r="A2039" s="22"/>
    </row>
    <row r="2040" spans="1:1">
      <c r="A2040" s="22"/>
    </row>
    <row r="2041" spans="1:1">
      <c r="A2041" s="22"/>
    </row>
    <row r="2042" spans="1:1">
      <c r="A2042" s="22"/>
    </row>
    <row r="2043" spans="1:1">
      <c r="A2043" s="22"/>
    </row>
    <row r="2044" spans="1:1">
      <c r="A2044" s="22"/>
    </row>
    <row r="2045" spans="1:1">
      <c r="A2045" s="22"/>
    </row>
    <row r="2046" spans="1:1">
      <c r="A2046" s="22"/>
    </row>
    <row r="2047" spans="1:1">
      <c r="A2047" s="22"/>
    </row>
    <row r="2048" spans="1:1">
      <c r="A2048" s="22"/>
    </row>
    <row r="2049" spans="1:1">
      <c r="A2049" s="22"/>
    </row>
    <row r="2050" spans="1:1">
      <c r="A2050" s="22"/>
    </row>
    <row r="2051" spans="1:1">
      <c r="A2051" s="22"/>
    </row>
    <row r="2052" spans="1:1">
      <c r="A2052" s="22"/>
    </row>
    <row r="2053" spans="1:1">
      <c r="A2053" s="22"/>
    </row>
    <row r="2054" spans="1:1">
      <c r="A2054" s="22"/>
    </row>
    <row r="2055" spans="1:1">
      <c r="A2055" s="22"/>
    </row>
    <row r="2056" spans="1:1">
      <c r="A2056" s="22"/>
    </row>
    <row r="2057" spans="1:1">
      <c r="A2057" s="22"/>
    </row>
    <row r="2058" spans="1:1">
      <c r="A2058" s="22"/>
    </row>
    <row r="2059" spans="1:1">
      <c r="A2059" s="22"/>
    </row>
    <row r="2060" spans="1:1">
      <c r="A2060" s="22"/>
    </row>
    <row r="2061" spans="1:1">
      <c r="A2061" s="22"/>
    </row>
    <row r="2062" spans="1:1">
      <c r="A2062" s="22"/>
    </row>
    <row r="2063" spans="1:1">
      <c r="A2063" s="22"/>
    </row>
    <row r="2064" spans="1:1">
      <c r="A2064" s="22"/>
    </row>
    <row r="2065" spans="1:1">
      <c r="A2065" s="22"/>
    </row>
    <row r="2066" spans="1:1">
      <c r="A2066" s="22"/>
    </row>
    <row r="2067" spans="1:1">
      <c r="A2067" s="22"/>
    </row>
    <row r="2068" spans="1:1">
      <c r="A2068" s="22"/>
    </row>
    <row r="2069" spans="1:1">
      <c r="A2069" s="22"/>
    </row>
    <row r="2070" spans="1:1">
      <c r="A2070" s="22"/>
    </row>
    <row r="2071" spans="1:1">
      <c r="A2071" s="22"/>
    </row>
    <row r="2072" spans="1:1">
      <c r="A2072" s="22"/>
    </row>
    <row r="2073" spans="1:1">
      <c r="A2073" s="22"/>
    </row>
    <row r="2074" spans="1:1">
      <c r="A2074" s="22"/>
    </row>
    <row r="2075" spans="1:1">
      <c r="A2075" s="22"/>
    </row>
    <row r="2076" spans="1:1">
      <c r="A2076" s="22"/>
    </row>
    <row r="2077" spans="1:1">
      <c r="A2077" s="22"/>
    </row>
    <row r="2078" spans="1:1">
      <c r="A2078" s="22"/>
    </row>
    <row r="2079" spans="1:1">
      <c r="A2079" s="22"/>
    </row>
    <row r="2080" spans="1:1">
      <c r="A2080" s="22"/>
    </row>
    <row r="2081" spans="1:1">
      <c r="A2081" s="22"/>
    </row>
    <row r="2082" spans="1:1">
      <c r="A2082" s="22"/>
    </row>
    <row r="2083" spans="1:1">
      <c r="A2083" s="22"/>
    </row>
    <row r="2084" spans="1:1">
      <c r="A2084" s="22"/>
    </row>
    <row r="2085" spans="1:1">
      <c r="A2085" s="22"/>
    </row>
    <row r="2086" spans="1:1">
      <c r="A2086" s="22"/>
    </row>
    <row r="2087" spans="1:1">
      <c r="A2087" s="22"/>
    </row>
    <row r="2088" spans="1:1">
      <c r="A2088" s="22"/>
    </row>
    <row r="2089" spans="1:1">
      <c r="A2089" s="22"/>
    </row>
    <row r="2090" spans="1:1">
      <c r="A2090" s="22"/>
    </row>
    <row r="2091" spans="1:1">
      <c r="A2091" s="22"/>
    </row>
    <row r="2092" spans="1:1">
      <c r="A2092" s="22"/>
    </row>
    <row r="2093" spans="1:1">
      <c r="A2093" s="22"/>
    </row>
    <row r="2094" spans="1:1">
      <c r="A2094" s="22"/>
    </row>
    <row r="2095" spans="1:1">
      <c r="A2095" s="22"/>
    </row>
    <row r="2096" spans="1:1">
      <c r="A2096" s="22"/>
    </row>
    <row r="2097" spans="1:1">
      <c r="A2097" s="22"/>
    </row>
    <row r="2098" spans="1:1">
      <c r="A2098" s="22"/>
    </row>
    <row r="2099" spans="1:1">
      <c r="A2099" s="22"/>
    </row>
    <row r="2100" spans="1:1">
      <c r="A2100" s="22"/>
    </row>
    <row r="2101" spans="1:1">
      <c r="A2101" s="22"/>
    </row>
    <row r="2102" spans="1:1">
      <c r="A2102" s="22"/>
    </row>
    <row r="2103" spans="1:1">
      <c r="A2103" s="22"/>
    </row>
    <row r="2104" spans="1:1">
      <c r="A2104" s="22"/>
    </row>
    <row r="2105" spans="1:1">
      <c r="A2105" s="22"/>
    </row>
    <row r="2106" spans="1:1">
      <c r="A2106" s="22"/>
    </row>
    <row r="2107" spans="1:1">
      <c r="A2107" s="22"/>
    </row>
    <row r="2108" spans="1:1">
      <c r="A2108" s="22"/>
    </row>
    <row r="2109" spans="1:1">
      <c r="A2109" s="22"/>
    </row>
    <row r="2110" spans="1:1">
      <c r="A2110" s="22"/>
    </row>
    <row r="2111" spans="1:1">
      <c r="A2111" s="22"/>
    </row>
    <row r="2112" spans="1:1">
      <c r="A2112" s="22"/>
    </row>
    <row r="2113" spans="1:1">
      <c r="A2113" s="22"/>
    </row>
    <row r="2114" spans="1:1">
      <c r="A2114" s="22"/>
    </row>
    <row r="2115" spans="1:1">
      <c r="A2115" s="22"/>
    </row>
    <row r="2116" spans="1:1">
      <c r="A2116" s="22"/>
    </row>
    <row r="2117" spans="1:1">
      <c r="A2117" s="22"/>
    </row>
    <row r="2118" spans="1:1">
      <c r="A2118" s="22"/>
    </row>
    <row r="2119" spans="1:1">
      <c r="A2119" s="22"/>
    </row>
    <row r="2120" spans="1:1">
      <c r="A2120" s="22"/>
    </row>
    <row r="2121" spans="1:1">
      <c r="A2121" s="22"/>
    </row>
    <row r="2122" spans="1:1">
      <c r="A2122" s="22"/>
    </row>
    <row r="2123" spans="1:1">
      <c r="A2123" s="22"/>
    </row>
    <row r="2124" spans="1:1">
      <c r="A2124" s="22"/>
    </row>
    <row r="2125" spans="1:1">
      <c r="A2125" s="22"/>
    </row>
    <row r="2126" spans="1:1">
      <c r="A2126" s="22"/>
    </row>
    <row r="2127" spans="1:1">
      <c r="A2127" s="22"/>
    </row>
    <row r="2128" spans="1:1">
      <c r="A2128" s="22"/>
    </row>
    <row r="2129" spans="1:1">
      <c r="A2129" s="22"/>
    </row>
    <row r="2130" spans="1:1">
      <c r="A2130" s="22"/>
    </row>
    <row r="2131" spans="1:1">
      <c r="A2131" s="22"/>
    </row>
    <row r="2132" spans="1:1">
      <c r="A2132" s="22"/>
    </row>
    <row r="2133" spans="1:1">
      <c r="A2133" s="22"/>
    </row>
    <row r="2134" spans="1:1">
      <c r="A2134" s="22"/>
    </row>
    <row r="2135" spans="1:1">
      <c r="A2135" s="22"/>
    </row>
    <row r="2136" spans="1:1">
      <c r="A2136" s="22"/>
    </row>
    <row r="2137" spans="1:1">
      <c r="A2137" s="22"/>
    </row>
    <row r="2138" spans="1:1">
      <c r="A2138" s="22"/>
    </row>
    <row r="2139" spans="1:1">
      <c r="A2139" s="22"/>
    </row>
    <row r="2140" spans="1:1">
      <c r="A2140" s="22"/>
    </row>
    <row r="2141" spans="1:1">
      <c r="A2141" s="22"/>
    </row>
    <row r="2142" spans="1:1">
      <c r="A2142" s="22"/>
    </row>
    <row r="2143" spans="1:1">
      <c r="A2143" s="22"/>
    </row>
    <row r="2144" spans="1:1">
      <c r="A2144" s="22"/>
    </row>
    <row r="2145" spans="1:1">
      <c r="A2145" s="22"/>
    </row>
    <row r="2146" spans="1:1">
      <c r="A2146" s="22"/>
    </row>
    <row r="2147" spans="1:1">
      <c r="A2147" s="22"/>
    </row>
    <row r="2148" spans="1:1">
      <c r="A2148" s="22"/>
    </row>
    <row r="2149" spans="1:1">
      <c r="A2149" s="22"/>
    </row>
    <row r="2150" spans="1:1">
      <c r="A2150" s="22"/>
    </row>
    <row r="2151" spans="1:1">
      <c r="A2151" s="22"/>
    </row>
    <row r="2152" spans="1:1">
      <c r="A2152" s="22"/>
    </row>
    <row r="2153" spans="1:1">
      <c r="A2153" s="22"/>
    </row>
    <row r="2154" spans="1:1">
      <c r="A2154" s="22"/>
    </row>
    <row r="2155" spans="1:1">
      <c r="A2155" s="22"/>
    </row>
    <row r="2156" spans="1:1">
      <c r="A2156" s="22"/>
    </row>
    <row r="2157" spans="1:1">
      <c r="A2157" s="22"/>
    </row>
    <row r="2158" spans="1:1">
      <c r="A2158" s="22"/>
    </row>
    <row r="2159" spans="1:1">
      <c r="A2159" s="22"/>
    </row>
    <row r="2160" spans="1:1">
      <c r="A2160" s="22"/>
    </row>
    <row r="2161" spans="1:1">
      <c r="A2161" s="22"/>
    </row>
    <row r="2162" spans="1:1">
      <c r="A2162" s="22"/>
    </row>
    <row r="2163" spans="1:1">
      <c r="A2163" s="22"/>
    </row>
    <row r="2164" spans="1:1">
      <c r="A2164" s="22"/>
    </row>
    <row r="2165" spans="1:1">
      <c r="A2165" s="22"/>
    </row>
    <row r="2166" spans="1:1">
      <c r="A2166" s="22"/>
    </row>
    <row r="2167" spans="1:1">
      <c r="A2167" s="22"/>
    </row>
    <row r="2168" spans="1:1">
      <c r="A2168" s="22"/>
    </row>
    <row r="2169" spans="1:1">
      <c r="A2169" s="22"/>
    </row>
    <row r="2170" spans="1:1">
      <c r="A2170" s="22"/>
    </row>
    <row r="2171" spans="1:1">
      <c r="A2171" s="22"/>
    </row>
    <row r="2172" spans="1:1">
      <c r="A2172" s="22"/>
    </row>
    <row r="2173" spans="1:1">
      <c r="A2173" s="22"/>
    </row>
    <row r="2174" spans="1:1">
      <c r="A2174" s="22"/>
    </row>
    <row r="2175" spans="1:1">
      <c r="A2175" s="22"/>
    </row>
    <row r="2176" spans="1:1">
      <c r="A2176" s="22"/>
    </row>
    <row r="2177" spans="1:1">
      <c r="A2177" s="22"/>
    </row>
    <row r="2178" spans="1:1">
      <c r="A2178" s="22"/>
    </row>
    <row r="2179" spans="1:1">
      <c r="A2179" s="22"/>
    </row>
    <row r="2180" spans="1:1">
      <c r="A2180" s="22"/>
    </row>
    <row r="2181" spans="1:1">
      <c r="A2181" s="22"/>
    </row>
    <row r="2182" spans="1:1">
      <c r="A2182" s="22"/>
    </row>
    <row r="2183" spans="1:1">
      <c r="A2183" s="22"/>
    </row>
    <row r="2184" spans="1:1">
      <c r="A2184" s="22"/>
    </row>
    <row r="2185" spans="1:1">
      <c r="A2185" s="22"/>
    </row>
    <row r="2186" spans="1:1">
      <c r="A2186" s="22"/>
    </row>
    <row r="2187" spans="1:1">
      <c r="A2187" s="22"/>
    </row>
    <row r="2188" spans="1:1">
      <c r="A2188" s="22"/>
    </row>
    <row r="2189" spans="1:1">
      <c r="A2189" s="22"/>
    </row>
    <row r="2190" spans="1:1">
      <c r="A2190" s="22"/>
    </row>
    <row r="2191" spans="1:1">
      <c r="A2191" s="22"/>
    </row>
    <row r="2192" spans="1:1">
      <c r="A2192" s="22"/>
    </row>
    <row r="2193" spans="1:1">
      <c r="A2193" s="22"/>
    </row>
    <row r="2194" spans="1:1">
      <c r="A2194" s="22"/>
    </row>
    <row r="2195" spans="1:1">
      <c r="A2195" s="22"/>
    </row>
    <row r="2196" spans="1:1">
      <c r="A2196" s="22"/>
    </row>
    <row r="2197" spans="1:1">
      <c r="A2197" s="22"/>
    </row>
    <row r="2198" spans="1:1">
      <c r="A2198" s="22"/>
    </row>
    <row r="2199" spans="1:1">
      <c r="A2199" s="22"/>
    </row>
    <row r="2200" spans="1:1">
      <c r="A2200" s="22"/>
    </row>
    <row r="2201" spans="1:1">
      <c r="A2201" s="22"/>
    </row>
    <row r="2202" spans="1:1">
      <c r="A2202" s="22"/>
    </row>
    <row r="2203" spans="1:1">
      <c r="A2203" s="22"/>
    </row>
    <row r="2204" spans="1:1">
      <c r="A2204" s="22"/>
    </row>
    <row r="2205" spans="1:1">
      <c r="A2205" s="22"/>
    </row>
    <row r="2206" spans="1:1">
      <c r="A2206" s="22"/>
    </row>
    <row r="2207" spans="1:1">
      <c r="A2207" s="22"/>
    </row>
    <row r="2208" spans="1:1">
      <c r="A2208" s="22"/>
    </row>
    <row r="2209" spans="1:1">
      <c r="A2209" s="22"/>
    </row>
    <row r="2210" spans="1:1">
      <c r="A2210" s="22"/>
    </row>
    <row r="2211" spans="1:1">
      <c r="A2211" s="22"/>
    </row>
    <row r="2212" spans="1:1">
      <c r="A2212" s="22"/>
    </row>
    <row r="2213" spans="1:1">
      <c r="A2213" s="22"/>
    </row>
    <row r="2214" spans="1:1">
      <c r="A2214" s="22"/>
    </row>
    <row r="2215" spans="1:1">
      <c r="A2215" s="22"/>
    </row>
    <row r="2216" spans="1:1">
      <c r="A2216" s="22"/>
    </row>
    <row r="2217" spans="1:1">
      <c r="A2217" s="22"/>
    </row>
    <row r="2218" spans="1:1">
      <c r="A2218" s="22"/>
    </row>
    <row r="2219" spans="1:1">
      <c r="A2219" s="22"/>
    </row>
    <row r="2220" spans="1:1">
      <c r="A2220" s="22"/>
    </row>
    <row r="2221" spans="1:1">
      <c r="A2221" s="22"/>
    </row>
    <row r="2222" spans="1:1">
      <c r="A2222" s="22"/>
    </row>
    <row r="2223" spans="1:1">
      <c r="A2223" s="22"/>
    </row>
    <row r="2224" spans="1:1">
      <c r="A2224" s="22"/>
    </row>
    <row r="2225" spans="1:1">
      <c r="A2225" s="22"/>
    </row>
    <row r="2226" spans="1:1">
      <c r="A2226" s="22"/>
    </row>
    <row r="2227" spans="1:1">
      <c r="A2227" s="22"/>
    </row>
    <row r="2228" spans="1:1">
      <c r="A2228" s="22"/>
    </row>
    <row r="2229" spans="1:1">
      <c r="A2229" s="22"/>
    </row>
    <row r="2230" spans="1:1">
      <c r="A2230" s="22"/>
    </row>
    <row r="2231" spans="1:1">
      <c r="A2231" s="22"/>
    </row>
    <row r="2232" spans="1:1">
      <c r="A2232" s="22"/>
    </row>
    <row r="2233" spans="1:1">
      <c r="A2233" s="22"/>
    </row>
    <row r="2234" spans="1:1">
      <c r="A2234" s="22"/>
    </row>
    <row r="2235" spans="1:1">
      <c r="A2235" s="22"/>
    </row>
    <row r="2236" spans="1:1">
      <c r="A2236" s="22"/>
    </row>
    <row r="2237" spans="1:1">
      <c r="A2237" s="22"/>
    </row>
    <row r="2238" spans="1:1">
      <c r="A2238" s="22"/>
    </row>
    <row r="2239" spans="1:1">
      <c r="A2239" s="22"/>
    </row>
    <row r="2240" spans="1:1">
      <c r="A2240" s="22"/>
    </row>
    <row r="2241" spans="1:1">
      <c r="A2241" s="22"/>
    </row>
    <row r="2242" spans="1:1">
      <c r="A2242" s="22"/>
    </row>
    <row r="2243" spans="1:1">
      <c r="A2243" s="22"/>
    </row>
    <row r="2244" spans="1:1">
      <c r="A2244" s="22"/>
    </row>
    <row r="2245" spans="1:1">
      <c r="A2245" s="22"/>
    </row>
    <row r="2246" spans="1:1">
      <c r="A2246" s="22"/>
    </row>
    <row r="2247" spans="1:1">
      <c r="A2247" s="22"/>
    </row>
    <row r="2248" spans="1:1">
      <c r="A2248" s="22"/>
    </row>
    <row r="2249" spans="1:1">
      <c r="A2249" s="22"/>
    </row>
    <row r="2250" spans="1:1">
      <c r="A2250" s="22"/>
    </row>
    <row r="2251" spans="1:1">
      <c r="A2251" s="22"/>
    </row>
    <row r="2252" spans="1:1">
      <c r="A2252" s="22"/>
    </row>
    <row r="2253" spans="1:1">
      <c r="A2253" s="22"/>
    </row>
    <row r="2254" spans="1:1">
      <c r="A2254" s="22"/>
    </row>
    <row r="2255" spans="1:1">
      <c r="A2255" s="22"/>
    </row>
    <row r="2256" spans="1:1">
      <c r="A2256" s="22"/>
    </row>
    <row r="2257" spans="1:1">
      <c r="A2257" s="22"/>
    </row>
    <row r="2258" spans="1:1">
      <c r="A2258" s="22"/>
    </row>
    <row r="2259" spans="1:1">
      <c r="A2259" s="22"/>
    </row>
    <row r="2260" spans="1:1">
      <c r="A2260" s="22"/>
    </row>
    <row r="2261" spans="1:1">
      <c r="A2261" s="22"/>
    </row>
    <row r="2262" spans="1:1">
      <c r="A2262" s="22"/>
    </row>
    <row r="2263" spans="1:1">
      <c r="A2263" s="22"/>
    </row>
    <row r="2264" spans="1:1">
      <c r="A2264" s="22"/>
    </row>
    <row r="2265" spans="1:1">
      <c r="A2265" s="22"/>
    </row>
    <row r="2266" spans="1:1">
      <c r="A2266" s="22"/>
    </row>
    <row r="2267" spans="1:1">
      <c r="A2267" s="22"/>
    </row>
    <row r="2268" spans="1:1">
      <c r="A2268" s="22"/>
    </row>
    <row r="2269" spans="1:1">
      <c r="A2269" s="22"/>
    </row>
    <row r="2270" spans="1:1">
      <c r="A2270" s="22"/>
    </row>
    <row r="2271" spans="1:1">
      <c r="A2271" s="22"/>
    </row>
    <row r="2272" spans="1:1">
      <c r="A2272" s="22"/>
    </row>
    <row r="2273" spans="1:1">
      <c r="A2273" s="22"/>
    </row>
    <row r="2274" spans="1:1">
      <c r="A2274" s="22"/>
    </row>
    <row r="2275" spans="1:1">
      <c r="A2275" s="22"/>
    </row>
    <row r="2276" spans="1:1">
      <c r="A2276" s="22"/>
    </row>
    <row r="2277" spans="1:1">
      <c r="A2277" s="22"/>
    </row>
    <row r="2278" spans="1:1">
      <c r="A2278" s="22"/>
    </row>
    <row r="2279" spans="1:1">
      <c r="A2279" s="22"/>
    </row>
    <row r="2280" spans="1:1">
      <c r="A2280" s="22"/>
    </row>
    <row r="2281" spans="1:1">
      <c r="A2281" s="22"/>
    </row>
    <row r="2282" spans="1:1">
      <c r="A2282" s="22"/>
    </row>
    <row r="2283" spans="1:1">
      <c r="A2283" s="22"/>
    </row>
    <row r="2284" spans="1:1">
      <c r="A2284" s="22"/>
    </row>
    <row r="2285" spans="1:1">
      <c r="A2285" s="22"/>
    </row>
    <row r="2286" spans="1:1">
      <c r="A2286" s="22"/>
    </row>
    <row r="2287" spans="1:1">
      <c r="A2287" s="22"/>
    </row>
    <row r="2288" spans="1:1">
      <c r="A2288" s="22"/>
    </row>
    <row r="2289" spans="1:1">
      <c r="A2289" s="22"/>
    </row>
    <row r="2290" spans="1:1">
      <c r="A2290" s="22"/>
    </row>
    <row r="2291" spans="1:1">
      <c r="A2291" s="22"/>
    </row>
    <row r="2292" spans="1:1">
      <c r="A2292" s="22"/>
    </row>
    <row r="2293" spans="1:1">
      <c r="A2293" s="22"/>
    </row>
    <row r="2294" spans="1:1">
      <c r="A2294" s="22"/>
    </row>
    <row r="2295" spans="1:1">
      <c r="A2295" s="22"/>
    </row>
    <row r="2296" spans="1:1">
      <c r="A2296" s="22"/>
    </row>
    <row r="2297" spans="1:1">
      <c r="A2297" s="22"/>
    </row>
    <row r="2298" spans="1:1">
      <c r="A2298" s="22"/>
    </row>
    <row r="2299" spans="1:1">
      <c r="A2299" s="22"/>
    </row>
    <row r="2300" spans="1:1">
      <c r="A2300" s="22"/>
    </row>
    <row r="2301" spans="1:1">
      <c r="A2301" s="22"/>
    </row>
    <row r="2302" spans="1:1">
      <c r="A2302" s="22"/>
    </row>
    <row r="2303" spans="1:1">
      <c r="A2303" s="22"/>
    </row>
    <row r="2304" spans="1:1">
      <c r="A2304" s="22"/>
    </row>
    <row r="2305" spans="1:1">
      <c r="A2305" s="22"/>
    </row>
    <row r="2306" spans="1:1">
      <c r="A2306" s="22"/>
    </row>
    <row r="2307" spans="1:1">
      <c r="A2307" s="22"/>
    </row>
    <row r="2308" spans="1:1">
      <c r="A2308" s="22"/>
    </row>
    <row r="2309" spans="1:1">
      <c r="A2309" s="22"/>
    </row>
    <row r="2310" spans="1:1">
      <c r="A2310" s="22"/>
    </row>
    <row r="2311" spans="1:1">
      <c r="A2311" s="22"/>
    </row>
    <row r="2312" spans="1:1">
      <c r="A2312" s="22"/>
    </row>
    <row r="2313" spans="1:1">
      <c r="A2313" s="22"/>
    </row>
    <row r="2314" spans="1:1">
      <c r="A2314" s="22"/>
    </row>
    <row r="2315" spans="1:1">
      <c r="A2315" s="22"/>
    </row>
    <row r="2316" spans="1:1">
      <c r="A2316" s="22"/>
    </row>
    <row r="2317" spans="1:1">
      <c r="A2317" s="22"/>
    </row>
    <row r="2318" spans="1:1">
      <c r="A2318" s="22"/>
    </row>
    <row r="2319" spans="1:1">
      <c r="A2319" s="22"/>
    </row>
    <row r="2320" spans="1:1">
      <c r="A2320" s="22"/>
    </row>
    <row r="2321" spans="1:1">
      <c r="A2321" s="22"/>
    </row>
    <row r="2322" spans="1:1">
      <c r="A2322" s="22"/>
    </row>
    <row r="2323" spans="1:1">
      <c r="A2323" s="22"/>
    </row>
    <row r="2324" spans="1:1">
      <c r="A2324" s="22"/>
    </row>
    <row r="2325" spans="1:1">
      <c r="A2325" s="22"/>
    </row>
    <row r="2326" spans="1:1">
      <c r="A2326" s="22"/>
    </row>
    <row r="2327" spans="1:1">
      <c r="A2327" s="22"/>
    </row>
    <row r="2328" spans="1:1">
      <c r="A2328" s="22"/>
    </row>
    <row r="2329" spans="1:1">
      <c r="A2329" s="22"/>
    </row>
    <row r="2330" spans="1:1">
      <c r="A2330" s="22"/>
    </row>
    <row r="2331" spans="1:1">
      <c r="A2331" s="22"/>
    </row>
    <row r="2332" spans="1:1">
      <c r="A2332" s="22"/>
    </row>
    <row r="2333" spans="1:1">
      <c r="A2333" s="22"/>
    </row>
    <row r="2334" spans="1:1">
      <c r="A2334" s="22"/>
    </row>
    <row r="2335" spans="1:1">
      <c r="A2335" s="22"/>
    </row>
    <row r="2336" spans="1:1">
      <c r="A2336" s="22"/>
    </row>
    <row r="2337" spans="1:1">
      <c r="A2337" s="22"/>
    </row>
    <row r="2338" spans="1:1">
      <c r="A2338" s="22"/>
    </row>
    <row r="2339" spans="1:1">
      <c r="A2339" s="22"/>
    </row>
    <row r="2340" spans="1:1">
      <c r="A2340" s="22"/>
    </row>
    <row r="2341" spans="1:1">
      <c r="A2341" s="22"/>
    </row>
    <row r="2342" spans="1:1">
      <c r="A2342" s="22"/>
    </row>
    <row r="2343" spans="1:1">
      <c r="A2343" s="22"/>
    </row>
    <row r="2344" spans="1:1">
      <c r="A2344" s="22"/>
    </row>
    <row r="2345" spans="1:1">
      <c r="A2345" s="22"/>
    </row>
    <row r="2346" spans="1:1">
      <c r="A2346" s="22"/>
    </row>
    <row r="2347" spans="1:1">
      <c r="A2347" s="22"/>
    </row>
    <row r="2348" spans="1:1">
      <c r="A2348" s="22"/>
    </row>
    <row r="2349" spans="1:1">
      <c r="A2349" s="22"/>
    </row>
    <row r="2350" spans="1:1">
      <c r="A2350" s="22"/>
    </row>
    <row r="2351" spans="1:1">
      <c r="A2351" s="22"/>
    </row>
    <row r="2352" spans="1:1">
      <c r="A2352" s="22"/>
    </row>
    <row r="2353" spans="1:1">
      <c r="A2353" s="22"/>
    </row>
    <row r="2354" spans="1:1">
      <c r="A2354" s="22"/>
    </row>
    <row r="2355" spans="1:1">
      <c r="A2355" s="22"/>
    </row>
    <row r="2356" spans="1:1">
      <c r="A2356" s="22"/>
    </row>
    <row r="2357" spans="1:1">
      <c r="A2357" s="22"/>
    </row>
    <row r="2358" spans="1:1">
      <c r="A2358" s="22"/>
    </row>
    <row r="2359" spans="1:1">
      <c r="A2359" s="22"/>
    </row>
    <row r="2360" spans="1:1">
      <c r="A2360" s="22"/>
    </row>
    <row r="2361" spans="1:1">
      <c r="A2361" s="22"/>
    </row>
    <row r="2362" spans="1:1">
      <c r="A2362" s="22"/>
    </row>
    <row r="2363" spans="1:1">
      <c r="A2363" s="22"/>
    </row>
    <row r="2364" spans="1:1">
      <c r="A2364" s="22"/>
    </row>
    <row r="2365" spans="1:1">
      <c r="A2365" s="22"/>
    </row>
    <row r="2366" spans="1:1">
      <c r="A2366" s="22"/>
    </row>
    <row r="2367" spans="1:1">
      <c r="A2367" s="22"/>
    </row>
    <row r="2368" spans="1:1">
      <c r="A2368" s="22"/>
    </row>
    <row r="2369" spans="1:1">
      <c r="A2369" s="22"/>
    </row>
    <row r="2370" spans="1:1">
      <c r="A2370" s="22"/>
    </row>
    <row r="2371" spans="1:1">
      <c r="A2371" s="22"/>
    </row>
    <row r="2372" spans="1:1">
      <c r="A2372" s="22"/>
    </row>
    <row r="2373" spans="1:1">
      <c r="A2373" s="22"/>
    </row>
    <row r="2374" spans="1:1">
      <c r="A2374" s="22"/>
    </row>
    <row r="2375" spans="1:1">
      <c r="A2375" s="22"/>
    </row>
    <row r="2376" spans="1:1">
      <c r="A2376" s="22"/>
    </row>
    <row r="2377" spans="1:1">
      <c r="A2377" s="22"/>
    </row>
    <row r="2378" spans="1:1">
      <c r="A2378" s="22"/>
    </row>
    <row r="2379" spans="1:1">
      <c r="A2379" s="22"/>
    </row>
    <row r="2380" spans="1:1">
      <c r="A2380" s="22"/>
    </row>
    <row r="2381" spans="1:1">
      <c r="A2381" s="22"/>
    </row>
    <row r="2382" spans="1:1">
      <c r="A2382" s="22"/>
    </row>
    <row r="2383" spans="1:1">
      <c r="A2383" s="22"/>
    </row>
    <row r="2384" spans="1:1">
      <c r="A2384" s="22"/>
    </row>
    <row r="2385" spans="1:1">
      <c r="A2385" s="22"/>
    </row>
    <row r="2386" spans="1:1">
      <c r="A2386" s="22"/>
    </row>
    <row r="2387" spans="1:1">
      <c r="A2387" s="22"/>
    </row>
    <row r="2388" spans="1:1">
      <c r="A2388" s="22"/>
    </row>
    <row r="2389" spans="1:1">
      <c r="A2389" s="22"/>
    </row>
    <row r="2390" spans="1:1">
      <c r="A2390" s="22"/>
    </row>
    <row r="2391" spans="1:1">
      <c r="A2391" s="22"/>
    </row>
    <row r="2392" spans="1:1">
      <c r="A2392" s="22"/>
    </row>
    <row r="2393" spans="1:1">
      <c r="A2393" s="22"/>
    </row>
    <row r="2394" spans="1:1">
      <c r="A2394" s="22"/>
    </row>
    <row r="2395" spans="1:1">
      <c r="A2395" s="22"/>
    </row>
    <row r="2396" spans="1:1">
      <c r="A2396" s="22"/>
    </row>
    <row r="2397" spans="1:1">
      <c r="A2397" s="22"/>
    </row>
    <row r="2398" spans="1:1">
      <c r="A2398" s="22"/>
    </row>
    <row r="2399" spans="1:1">
      <c r="A2399" s="22"/>
    </row>
    <row r="2400" spans="1:1">
      <c r="A2400" s="22"/>
    </row>
    <row r="2401" spans="1:1">
      <c r="A2401" s="22"/>
    </row>
    <row r="2402" spans="1:1">
      <c r="A2402" s="22"/>
    </row>
    <row r="2403" spans="1:1">
      <c r="A2403" s="22"/>
    </row>
    <row r="2404" spans="1:1">
      <c r="A2404" s="22"/>
    </row>
    <row r="2405" spans="1:1">
      <c r="A2405" s="22"/>
    </row>
    <row r="2406" spans="1:1">
      <c r="A2406" s="22"/>
    </row>
    <row r="2407" spans="1:1">
      <c r="A2407" s="22"/>
    </row>
    <row r="2408" spans="1:1">
      <c r="A2408" s="22"/>
    </row>
    <row r="2409" spans="1:1">
      <c r="A2409" s="22"/>
    </row>
    <row r="2410" spans="1:1">
      <c r="A2410" s="22"/>
    </row>
    <row r="2411" spans="1:1">
      <c r="A2411" s="22"/>
    </row>
    <row r="2412" spans="1:1">
      <c r="A2412" s="22"/>
    </row>
    <row r="2413" spans="1:1">
      <c r="A2413" s="22"/>
    </row>
    <row r="2414" spans="1:1">
      <c r="A2414" s="22"/>
    </row>
    <row r="2415" spans="1:1">
      <c r="A2415" s="22"/>
    </row>
    <row r="2416" spans="1:1">
      <c r="A2416" s="22"/>
    </row>
    <row r="2417" spans="1:1">
      <c r="A2417" s="22"/>
    </row>
    <row r="2418" spans="1:1">
      <c r="A2418" s="22"/>
    </row>
    <row r="2419" spans="1:1">
      <c r="A2419" s="22"/>
    </row>
    <row r="2420" spans="1:1">
      <c r="A2420" s="22"/>
    </row>
    <row r="2421" spans="1:1">
      <c r="A2421" s="22"/>
    </row>
    <row r="2422" spans="1:1">
      <c r="A2422" s="22"/>
    </row>
    <row r="2423" spans="1:1">
      <c r="A2423" s="22"/>
    </row>
    <row r="2424" spans="1:1">
      <c r="A2424" s="22"/>
    </row>
    <row r="2425" spans="1:1">
      <c r="A2425" s="22"/>
    </row>
    <row r="2426" spans="1:1">
      <c r="A2426" s="22"/>
    </row>
    <row r="2427" spans="1:1">
      <c r="A2427" s="22"/>
    </row>
    <row r="2428" spans="1:1">
      <c r="A2428" s="22"/>
    </row>
    <row r="2429" spans="1:1">
      <c r="A2429" s="22"/>
    </row>
    <row r="2430" spans="1:1">
      <c r="A2430" s="22"/>
    </row>
    <row r="2431" spans="1:1">
      <c r="A2431" s="22"/>
    </row>
    <row r="2432" spans="1:1">
      <c r="A2432" s="22"/>
    </row>
    <row r="2433" spans="1:1">
      <c r="A2433" s="22"/>
    </row>
    <row r="2434" spans="1:1">
      <c r="A2434" s="22"/>
    </row>
    <row r="2435" spans="1:1">
      <c r="A2435" s="22"/>
    </row>
    <row r="2436" spans="1:1">
      <c r="A2436" s="22"/>
    </row>
    <row r="2437" spans="1:1">
      <c r="A2437" s="22"/>
    </row>
    <row r="2438" spans="1:1">
      <c r="A2438" s="22"/>
    </row>
    <row r="2439" spans="1:1">
      <c r="A2439" s="22"/>
    </row>
    <row r="2440" spans="1:1">
      <c r="A2440" s="22"/>
    </row>
    <row r="2441" spans="1:1">
      <c r="A2441" s="22"/>
    </row>
    <row r="2442" spans="1:1">
      <c r="A2442" s="22"/>
    </row>
    <row r="2443" spans="1:1">
      <c r="A2443" s="22"/>
    </row>
    <row r="2444" spans="1:1">
      <c r="A2444" s="22"/>
    </row>
    <row r="2445" spans="1:1">
      <c r="A2445" s="22"/>
    </row>
    <row r="2446" spans="1:1">
      <c r="A2446" s="22"/>
    </row>
    <row r="2447" spans="1:1">
      <c r="A2447" s="22"/>
    </row>
    <row r="2448" spans="1:1">
      <c r="A2448" s="22"/>
    </row>
    <row r="2449" spans="1:1">
      <c r="A2449" s="22"/>
    </row>
    <row r="2450" spans="1:1">
      <c r="A2450" s="22"/>
    </row>
    <row r="2451" spans="1:1">
      <c r="A2451" s="22"/>
    </row>
    <row r="2452" spans="1:1">
      <c r="A2452" s="22"/>
    </row>
    <row r="2453" spans="1:1">
      <c r="A2453" s="22"/>
    </row>
    <row r="2454" spans="1:1">
      <c r="A2454" s="22"/>
    </row>
    <row r="2455" spans="1:1">
      <c r="A2455" s="22"/>
    </row>
    <row r="2456" spans="1:1">
      <c r="A2456" s="22"/>
    </row>
    <row r="2457" spans="1:1">
      <c r="A2457" s="22"/>
    </row>
    <row r="2458" spans="1:1">
      <c r="A2458" s="22"/>
    </row>
    <row r="2459" spans="1:1">
      <c r="A2459" s="22"/>
    </row>
    <row r="2460" spans="1:1">
      <c r="A2460" s="22"/>
    </row>
    <row r="2461" spans="1:1">
      <c r="A2461" s="22"/>
    </row>
    <row r="2462" spans="1:1">
      <c r="A2462" s="22"/>
    </row>
    <row r="2463" spans="1:1">
      <c r="A2463" s="22"/>
    </row>
    <row r="2464" spans="1:1">
      <c r="A2464" s="22"/>
    </row>
    <row r="2465" spans="1:1">
      <c r="A2465" s="22"/>
    </row>
    <row r="2466" spans="1:1">
      <c r="A2466" s="22"/>
    </row>
    <row r="2467" spans="1:1">
      <c r="A2467" s="22"/>
    </row>
    <row r="2468" spans="1:1">
      <c r="A2468" s="22"/>
    </row>
    <row r="2469" spans="1:1">
      <c r="A2469" s="22"/>
    </row>
    <row r="2470" spans="1:1">
      <c r="A2470" s="22"/>
    </row>
    <row r="2471" spans="1:1">
      <c r="A2471" s="22"/>
    </row>
    <row r="2472" spans="1:1">
      <c r="A2472" s="22"/>
    </row>
    <row r="2473" spans="1:1">
      <c r="A2473" s="22"/>
    </row>
    <row r="2474" spans="1:1">
      <c r="A2474" s="22"/>
    </row>
    <row r="2475" spans="1:1">
      <c r="A2475" s="22"/>
    </row>
    <row r="2476" spans="1:1">
      <c r="A2476" s="22"/>
    </row>
    <row r="2477" spans="1:1">
      <c r="A2477" s="22"/>
    </row>
    <row r="2478" spans="1:1">
      <c r="A2478" s="22"/>
    </row>
    <row r="2479" spans="1:1">
      <c r="A2479" s="22"/>
    </row>
    <row r="2480" spans="1:1">
      <c r="A2480" s="22"/>
    </row>
    <row r="2481" spans="1:1">
      <c r="A2481" s="22"/>
    </row>
    <row r="2482" spans="1:1">
      <c r="A2482" s="22"/>
    </row>
    <row r="2483" spans="1:1">
      <c r="A2483" s="22"/>
    </row>
    <row r="2484" spans="1:1">
      <c r="A2484" s="22"/>
    </row>
    <row r="2485" spans="1:1">
      <c r="A2485" s="22"/>
    </row>
    <row r="2486" spans="1:1">
      <c r="A2486" s="22"/>
    </row>
    <row r="2487" spans="1:1">
      <c r="A2487" s="22"/>
    </row>
    <row r="2488" spans="1:1">
      <c r="A2488" s="22"/>
    </row>
    <row r="2489" spans="1:1">
      <c r="A2489" s="22"/>
    </row>
    <row r="2490" spans="1:1">
      <c r="A2490" s="22"/>
    </row>
    <row r="2491" spans="1:1">
      <c r="A2491" s="22"/>
    </row>
    <row r="2492" spans="1:1">
      <c r="A2492" s="22"/>
    </row>
    <row r="2493" spans="1:1">
      <c r="A2493" s="22"/>
    </row>
    <row r="2494" spans="1:1">
      <c r="A2494" s="22"/>
    </row>
    <row r="2495" spans="1:1">
      <c r="A2495" s="22"/>
    </row>
    <row r="2496" spans="1:1">
      <c r="A2496" s="22"/>
    </row>
    <row r="2497" spans="1:1">
      <c r="A2497" s="22"/>
    </row>
    <row r="2498" spans="1:1">
      <c r="A2498" s="22"/>
    </row>
    <row r="2499" spans="1:1">
      <c r="A2499" s="22"/>
    </row>
    <row r="2500" spans="1:1">
      <c r="A2500" s="22"/>
    </row>
    <row r="2501" spans="1:1">
      <c r="A2501" s="22"/>
    </row>
    <row r="2502" spans="1:1">
      <c r="A2502" s="22"/>
    </row>
    <row r="2503" spans="1:1">
      <c r="A2503" s="22"/>
    </row>
    <row r="2504" spans="1:1">
      <c r="A2504" s="22"/>
    </row>
    <row r="2505" spans="1:1">
      <c r="A2505" s="22"/>
    </row>
    <row r="2506" spans="1:1">
      <c r="A2506" s="22"/>
    </row>
    <row r="2507" spans="1:1">
      <c r="A2507" s="22"/>
    </row>
    <row r="2508" spans="1:1">
      <c r="A2508" s="22"/>
    </row>
    <row r="2509" spans="1:1">
      <c r="A2509" s="22"/>
    </row>
    <row r="2510" spans="1:1">
      <c r="A2510" s="22"/>
    </row>
    <row r="2511" spans="1:1">
      <c r="A2511" s="22"/>
    </row>
    <row r="2512" spans="1:1">
      <c r="A2512" s="22"/>
    </row>
    <row r="2513" spans="1:1">
      <c r="A2513" s="22"/>
    </row>
    <row r="2514" spans="1:1">
      <c r="A2514" s="22"/>
    </row>
    <row r="2515" spans="1:1">
      <c r="A2515" s="22"/>
    </row>
    <row r="2516" spans="1:1">
      <c r="A2516" s="22"/>
    </row>
    <row r="2517" spans="1:1">
      <c r="A2517" s="22"/>
    </row>
    <row r="2518" spans="1:1">
      <c r="A2518" s="22"/>
    </row>
    <row r="2519" spans="1:1">
      <c r="A2519" s="22"/>
    </row>
    <row r="2520" spans="1:1">
      <c r="A2520" s="22"/>
    </row>
    <row r="2521" spans="1:1">
      <c r="A2521" s="22"/>
    </row>
    <row r="2522" spans="1:1">
      <c r="A2522" s="22"/>
    </row>
    <row r="2523" spans="1:1">
      <c r="A2523" s="22"/>
    </row>
    <row r="2524" spans="1:1">
      <c r="A2524" s="22"/>
    </row>
    <row r="2525" spans="1:1">
      <c r="A2525" s="22"/>
    </row>
    <row r="2526" spans="1:1">
      <c r="A2526" s="22"/>
    </row>
    <row r="2527" spans="1:1">
      <c r="A2527" s="22"/>
    </row>
    <row r="2528" spans="1:1">
      <c r="A2528" s="22"/>
    </row>
    <row r="2529" spans="1:1">
      <c r="A2529" s="22"/>
    </row>
    <row r="2530" spans="1:1">
      <c r="A2530" s="22"/>
    </row>
    <row r="2531" spans="1:1">
      <c r="A2531" s="22"/>
    </row>
    <row r="2532" spans="1:1">
      <c r="A2532" s="22"/>
    </row>
    <row r="2533" spans="1:1">
      <c r="A2533" s="22"/>
    </row>
    <row r="2534" spans="1:1">
      <c r="A2534" s="22"/>
    </row>
    <row r="2535" spans="1:1">
      <c r="A2535" s="22"/>
    </row>
    <row r="2536" spans="1:1">
      <c r="A2536" s="22"/>
    </row>
    <row r="2537" spans="1:1">
      <c r="A2537" s="22"/>
    </row>
    <row r="2538" spans="1:1">
      <c r="A2538" s="22"/>
    </row>
    <row r="2539" spans="1:1">
      <c r="A2539" s="22"/>
    </row>
    <row r="2540" spans="1:1">
      <c r="A2540" s="22"/>
    </row>
    <row r="2541" spans="1:1">
      <c r="A2541" s="22"/>
    </row>
    <row r="2542" spans="1:1">
      <c r="A2542" s="22"/>
    </row>
    <row r="2543" spans="1:1">
      <c r="A2543" s="22"/>
    </row>
    <row r="2544" spans="1:1">
      <c r="A2544" s="22"/>
    </row>
    <row r="2545" spans="1:1">
      <c r="A2545" s="22"/>
    </row>
    <row r="2546" spans="1:1">
      <c r="A2546" s="22"/>
    </row>
    <row r="2547" spans="1:1">
      <c r="A2547" s="22"/>
    </row>
    <row r="2548" spans="1:1">
      <c r="A2548" s="22"/>
    </row>
    <row r="2549" spans="1:1">
      <c r="A2549" s="22"/>
    </row>
    <row r="2550" spans="1:1">
      <c r="A2550" s="22"/>
    </row>
    <row r="2551" spans="1:1">
      <c r="A2551" s="22"/>
    </row>
    <row r="2552" spans="1:1">
      <c r="A2552" s="22"/>
    </row>
    <row r="2553" spans="1:1">
      <c r="A2553" s="22"/>
    </row>
    <row r="2554" spans="1:1">
      <c r="A2554" s="22"/>
    </row>
    <row r="2555" spans="1:1">
      <c r="A2555" s="22"/>
    </row>
    <row r="2556" spans="1:1">
      <c r="A2556" s="22"/>
    </row>
    <row r="2557" spans="1:1">
      <c r="A2557" s="22"/>
    </row>
    <row r="2558" spans="1:1">
      <c r="A2558" s="22"/>
    </row>
    <row r="2559" spans="1:1">
      <c r="A2559" s="22"/>
    </row>
    <row r="2560" spans="1:1">
      <c r="A2560" s="22"/>
    </row>
    <row r="2561" spans="1:1">
      <c r="A2561" s="22"/>
    </row>
    <row r="2562" spans="1:1">
      <c r="A2562" s="22"/>
    </row>
    <row r="2563" spans="1:1">
      <c r="A2563" s="22"/>
    </row>
    <row r="2564" spans="1:1">
      <c r="A2564" s="22"/>
    </row>
    <row r="2565" spans="1:1">
      <c r="A2565" s="22"/>
    </row>
    <row r="2566" spans="1:1">
      <c r="A2566" s="22"/>
    </row>
    <row r="2567" spans="1:1">
      <c r="A2567" s="22"/>
    </row>
    <row r="2568" spans="1:1">
      <c r="A2568" s="22"/>
    </row>
    <row r="2569" spans="1:1">
      <c r="A2569" s="22"/>
    </row>
    <row r="2570" spans="1:1">
      <c r="A2570" s="22"/>
    </row>
    <row r="2571" spans="1:1">
      <c r="A2571" s="22"/>
    </row>
    <row r="2572" spans="1:1">
      <c r="A2572" s="22"/>
    </row>
    <row r="2573" spans="1:1">
      <c r="A2573" s="22"/>
    </row>
    <row r="2574" spans="1:1">
      <c r="A2574" s="22"/>
    </row>
    <row r="2575" spans="1:1">
      <c r="A2575" s="22"/>
    </row>
    <row r="2576" spans="1:1">
      <c r="A2576" s="22"/>
    </row>
    <row r="2577" spans="1:1">
      <c r="A2577" s="22"/>
    </row>
    <row r="2578" spans="1:1">
      <c r="A2578" s="22"/>
    </row>
    <row r="2579" spans="1:1">
      <c r="A2579" s="22"/>
    </row>
    <row r="2580" spans="1:1">
      <c r="A2580" s="22"/>
    </row>
    <row r="2581" spans="1:1">
      <c r="A2581" s="22"/>
    </row>
    <row r="2582" spans="1:1">
      <c r="A2582" s="22"/>
    </row>
    <row r="2583" spans="1:1">
      <c r="A2583" s="22"/>
    </row>
    <row r="2584" spans="1:1">
      <c r="A2584" s="22"/>
    </row>
    <row r="2585" spans="1:1">
      <c r="A2585" s="22"/>
    </row>
    <row r="2586" spans="1:1">
      <c r="A2586" s="22"/>
    </row>
    <row r="2587" spans="1:1">
      <c r="A2587" s="22"/>
    </row>
    <row r="2588" spans="1:1">
      <c r="A2588" s="22"/>
    </row>
    <row r="2589" spans="1:1">
      <c r="A2589" s="22"/>
    </row>
    <row r="2590" spans="1:1">
      <c r="A2590" s="22"/>
    </row>
    <row r="2591" spans="1:1">
      <c r="A2591" s="22"/>
    </row>
    <row r="2592" spans="1:1">
      <c r="A2592" s="22"/>
    </row>
    <row r="2593" spans="1:1">
      <c r="A2593" s="22"/>
    </row>
    <row r="2594" spans="1:1">
      <c r="A2594" s="22"/>
    </row>
    <row r="2595" spans="1:1">
      <c r="A2595" s="22"/>
    </row>
    <row r="2596" spans="1:1">
      <c r="A2596" s="22"/>
    </row>
    <row r="2597" spans="1:1">
      <c r="A2597" s="22"/>
    </row>
    <row r="2598" spans="1:1">
      <c r="A2598" s="22"/>
    </row>
    <row r="2599" spans="1:1">
      <c r="A2599" s="22"/>
    </row>
    <row r="2600" spans="1:1">
      <c r="A2600" s="22"/>
    </row>
    <row r="2601" spans="1:1">
      <c r="A2601" s="22"/>
    </row>
    <row r="2602" spans="1:1">
      <c r="A2602" s="22"/>
    </row>
    <row r="2603" spans="1:1">
      <c r="A2603" s="22"/>
    </row>
    <row r="2604" spans="1:1">
      <c r="A2604" s="22"/>
    </row>
    <row r="2605" spans="1:1">
      <c r="A2605" s="22"/>
    </row>
    <row r="2606" spans="1:1">
      <c r="A2606" s="22"/>
    </row>
    <row r="2607" spans="1:1">
      <c r="A2607" s="22"/>
    </row>
    <row r="2608" spans="1:1">
      <c r="A2608" s="22"/>
    </row>
    <row r="2609" spans="1:1">
      <c r="A2609" s="22"/>
    </row>
    <row r="2610" spans="1:1">
      <c r="A2610" s="22"/>
    </row>
    <row r="2611" spans="1:1">
      <c r="A2611" s="22"/>
    </row>
    <row r="2612" spans="1:1">
      <c r="A2612" s="22"/>
    </row>
    <row r="2613" spans="1:1">
      <c r="A2613" s="22"/>
    </row>
    <row r="2614" spans="1:1">
      <c r="A2614" s="22"/>
    </row>
    <row r="2615" spans="1:1">
      <c r="A2615" s="22"/>
    </row>
    <row r="2616" spans="1:1">
      <c r="A2616" s="22"/>
    </row>
    <row r="2617" spans="1:1">
      <c r="A2617" s="22"/>
    </row>
    <row r="2618" spans="1:1">
      <c r="A2618" s="22"/>
    </row>
    <row r="2619" spans="1:1">
      <c r="A2619" s="22"/>
    </row>
    <row r="2620" spans="1:1">
      <c r="A2620" s="22"/>
    </row>
    <row r="2621" spans="1:1">
      <c r="A2621" s="22"/>
    </row>
    <row r="2622" spans="1:1">
      <c r="A2622" s="22"/>
    </row>
    <row r="2623" spans="1:1">
      <c r="A2623" s="22"/>
    </row>
    <row r="2624" spans="1:1">
      <c r="A2624" s="22"/>
    </row>
    <row r="2625" spans="1:1">
      <c r="A2625" s="22"/>
    </row>
    <row r="2626" spans="1:1">
      <c r="A2626" s="22"/>
    </row>
    <row r="2627" spans="1:1">
      <c r="A2627" s="22"/>
    </row>
    <row r="2628" spans="1:1">
      <c r="A2628" s="22"/>
    </row>
    <row r="2629" spans="1:1">
      <c r="A2629" s="22"/>
    </row>
    <row r="2630" spans="1:1">
      <c r="A2630" s="22"/>
    </row>
    <row r="2631" spans="1:1">
      <c r="A2631" s="22"/>
    </row>
    <row r="2632" spans="1:1">
      <c r="A2632" s="22"/>
    </row>
    <row r="2633" spans="1:1">
      <c r="A2633" s="22"/>
    </row>
    <row r="2634" spans="1:1">
      <c r="A2634" s="22"/>
    </row>
    <row r="2635" spans="1:1">
      <c r="A2635" s="22"/>
    </row>
    <row r="2636" spans="1:1">
      <c r="A2636" s="22"/>
    </row>
    <row r="2637" spans="1:1">
      <c r="A2637" s="22"/>
    </row>
    <row r="2638" spans="1:1">
      <c r="A2638" s="22"/>
    </row>
    <row r="2639" spans="1:1">
      <c r="A2639" s="22"/>
    </row>
    <row r="2640" spans="1:1">
      <c r="A2640" s="22"/>
    </row>
    <row r="2641" spans="1:1">
      <c r="A2641" s="22"/>
    </row>
    <row r="2642" spans="1:1">
      <c r="A2642" s="22"/>
    </row>
    <row r="2643" spans="1:1">
      <c r="A2643" s="22"/>
    </row>
    <row r="2644" spans="1:1">
      <c r="A2644" s="22"/>
    </row>
    <row r="2645" spans="1:1">
      <c r="A2645" s="22"/>
    </row>
    <row r="2646" spans="1:1">
      <c r="A2646" s="22"/>
    </row>
    <row r="2647" spans="1:1">
      <c r="A2647" s="22"/>
    </row>
    <row r="2648" spans="1:1">
      <c r="A2648" s="22"/>
    </row>
    <row r="2649" spans="1:1">
      <c r="A2649" s="22"/>
    </row>
    <row r="2650" spans="1:1">
      <c r="A2650" s="22"/>
    </row>
    <row r="2651" spans="1:1">
      <c r="A2651" s="22"/>
    </row>
    <row r="2652" spans="1:1">
      <c r="A2652" s="22"/>
    </row>
    <row r="2653" spans="1:1">
      <c r="A2653" s="22"/>
    </row>
    <row r="2654" spans="1:1">
      <c r="A2654" s="22"/>
    </row>
    <row r="2655" spans="1:1">
      <c r="A2655" s="22"/>
    </row>
    <row r="2656" spans="1:1">
      <c r="A2656" s="22"/>
    </row>
    <row r="2657" spans="1:1">
      <c r="A2657" s="22"/>
    </row>
    <row r="2658" spans="1:1">
      <c r="A2658" s="22"/>
    </row>
    <row r="2659" spans="1:1">
      <c r="A2659" s="22"/>
    </row>
    <row r="2660" spans="1:1">
      <c r="A2660" s="22"/>
    </row>
    <row r="2661" spans="1:1">
      <c r="A2661" s="22"/>
    </row>
    <row r="2662" spans="1:1">
      <c r="A2662" s="22"/>
    </row>
    <row r="2663" spans="1:1">
      <c r="A2663" s="22"/>
    </row>
    <row r="2664" spans="1:1">
      <c r="A2664" s="22"/>
    </row>
    <row r="2665" spans="1:1">
      <c r="A2665" s="22"/>
    </row>
    <row r="2666" spans="1:1">
      <c r="A2666" s="22"/>
    </row>
    <row r="2667" spans="1:1">
      <c r="A2667" s="22"/>
    </row>
    <row r="2668" spans="1:1">
      <c r="A2668" s="22"/>
    </row>
    <row r="2669" spans="1:1">
      <c r="A2669" s="22"/>
    </row>
    <row r="2670" spans="1:1">
      <c r="A2670" s="22"/>
    </row>
    <row r="2671" spans="1:1">
      <c r="A2671" s="22"/>
    </row>
    <row r="2672" spans="1:1">
      <c r="A2672" s="22"/>
    </row>
    <row r="2673" spans="1:1">
      <c r="A2673" s="22"/>
    </row>
    <row r="2674" spans="1:1">
      <c r="A2674" s="22"/>
    </row>
    <row r="2675" spans="1:1">
      <c r="A2675" s="22"/>
    </row>
    <row r="2676" spans="1:1">
      <c r="A2676" s="22"/>
    </row>
    <row r="2677" spans="1:1">
      <c r="A2677" s="22"/>
    </row>
    <row r="2678" spans="1:1">
      <c r="A2678" s="22"/>
    </row>
    <row r="2679" spans="1:1">
      <c r="A2679" s="22"/>
    </row>
    <row r="2680" spans="1:1">
      <c r="A2680" s="22"/>
    </row>
    <row r="2681" spans="1:1">
      <c r="A2681" s="22"/>
    </row>
    <row r="2682" spans="1:1">
      <c r="A2682" s="22"/>
    </row>
    <row r="2683" spans="1:1">
      <c r="A2683" s="22"/>
    </row>
    <row r="2684" spans="1:1">
      <c r="A2684" s="22"/>
    </row>
    <row r="2685" spans="1:1">
      <c r="A2685" s="22"/>
    </row>
    <row r="2686" spans="1:1">
      <c r="A2686" s="22"/>
    </row>
    <row r="2687" spans="1:1">
      <c r="A2687" s="22"/>
    </row>
    <row r="2688" spans="1:1">
      <c r="A2688" s="22"/>
    </row>
    <row r="2689" spans="1:1">
      <c r="A2689" s="22"/>
    </row>
    <row r="2690" spans="1:1">
      <c r="A2690" s="22"/>
    </row>
    <row r="2691" spans="1:1">
      <c r="A2691" s="22"/>
    </row>
    <row r="2692" spans="1:1">
      <c r="A2692" s="22"/>
    </row>
    <row r="2693" spans="1:1">
      <c r="A2693" s="22"/>
    </row>
    <row r="2694" spans="1:1">
      <c r="A2694" s="22"/>
    </row>
    <row r="2695" spans="1:1">
      <c r="A2695" s="22"/>
    </row>
    <row r="2696" spans="1:1">
      <c r="A2696" s="22"/>
    </row>
    <row r="2697" spans="1:1">
      <c r="A2697" s="22"/>
    </row>
    <row r="2698" spans="1:1">
      <c r="A2698" s="22"/>
    </row>
    <row r="2699" spans="1:1">
      <c r="A2699" s="22"/>
    </row>
    <row r="2700" spans="1:1">
      <c r="A2700" s="22"/>
    </row>
    <row r="2701" spans="1:1">
      <c r="A2701" s="22"/>
    </row>
    <row r="2702" spans="1:1">
      <c r="A2702" s="22"/>
    </row>
    <row r="2703" spans="1:1">
      <c r="A2703" s="22"/>
    </row>
    <row r="2704" spans="1:1">
      <c r="A2704" s="22"/>
    </row>
    <row r="2705" spans="1:1">
      <c r="A2705" s="22"/>
    </row>
    <row r="2706" spans="1:1">
      <c r="A2706" s="22"/>
    </row>
    <row r="2707" spans="1:1">
      <c r="A2707" s="22"/>
    </row>
    <row r="2708" spans="1:1">
      <c r="A2708" s="22"/>
    </row>
    <row r="2709" spans="1:1">
      <c r="A2709" s="22"/>
    </row>
    <row r="2710" spans="1:1">
      <c r="A2710" s="22"/>
    </row>
    <row r="2711" spans="1:1">
      <c r="A2711" s="22"/>
    </row>
    <row r="2712" spans="1:1">
      <c r="A2712" s="22"/>
    </row>
    <row r="2713" spans="1:1">
      <c r="A2713" s="22"/>
    </row>
    <row r="2714" spans="1:1">
      <c r="A2714" s="22"/>
    </row>
    <row r="2715" spans="1:1">
      <c r="A2715" s="22"/>
    </row>
    <row r="2716" spans="1:1">
      <c r="A2716" s="22"/>
    </row>
    <row r="2717" spans="1:1">
      <c r="A2717" s="22"/>
    </row>
    <row r="2718" spans="1:1">
      <c r="A2718" s="22"/>
    </row>
    <row r="2719" spans="1:1">
      <c r="A2719" s="22"/>
    </row>
    <row r="2720" spans="1:1">
      <c r="A2720" s="22"/>
    </row>
    <row r="2721" spans="1:1">
      <c r="A2721" s="22"/>
    </row>
    <row r="2722" spans="1:1">
      <c r="A2722" s="22"/>
    </row>
    <row r="2723" spans="1:1">
      <c r="A2723" s="22"/>
    </row>
    <row r="2724" spans="1:1">
      <c r="A2724" s="22"/>
    </row>
    <row r="2725" spans="1:1">
      <c r="A2725" s="22"/>
    </row>
    <row r="2726" spans="1:1">
      <c r="A2726" s="22"/>
    </row>
    <row r="2727" spans="1:1">
      <c r="A2727" s="22"/>
    </row>
    <row r="2728" spans="1:1">
      <c r="A2728" s="22"/>
    </row>
    <row r="2729" spans="1:1">
      <c r="A2729" s="22"/>
    </row>
    <row r="2730" spans="1:1">
      <c r="A2730" s="22"/>
    </row>
    <row r="2731" spans="1:1">
      <c r="A2731" s="22"/>
    </row>
    <row r="2732" spans="1:1">
      <c r="A2732" s="22"/>
    </row>
    <row r="2733" spans="1:1">
      <c r="A2733" s="22"/>
    </row>
    <row r="2734" spans="1:1">
      <c r="A2734" s="22"/>
    </row>
    <row r="2735" spans="1:1">
      <c r="A2735" s="22"/>
    </row>
    <row r="2736" spans="1:1">
      <c r="A2736" s="22"/>
    </row>
    <row r="2737" spans="1:1">
      <c r="A2737" s="22"/>
    </row>
    <row r="2738" spans="1:1">
      <c r="A2738" s="22"/>
    </row>
    <row r="2739" spans="1:1">
      <c r="A2739" s="22"/>
    </row>
    <row r="2740" spans="1:1">
      <c r="A2740" s="22"/>
    </row>
    <row r="2741" spans="1:1">
      <c r="A2741" s="22"/>
    </row>
    <row r="2742" spans="1:1">
      <c r="A2742" s="22"/>
    </row>
    <row r="2743" spans="1:1">
      <c r="A2743" s="22"/>
    </row>
    <row r="2744" spans="1:1">
      <c r="A2744" s="22"/>
    </row>
    <row r="2745" spans="1:1">
      <c r="A2745" s="22"/>
    </row>
    <row r="2746" spans="1:1">
      <c r="A2746" s="22"/>
    </row>
    <row r="2747" spans="1:1">
      <c r="A2747" s="22"/>
    </row>
    <row r="2748" spans="1:1">
      <c r="A2748" s="22"/>
    </row>
    <row r="2749" spans="1:1">
      <c r="A2749" s="22"/>
    </row>
    <row r="2750" spans="1:1">
      <c r="A2750" s="22"/>
    </row>
    <row r="2751" spans="1:1">
      <c r="A2751" s="22"/>
    </row>
    <row r="2752" spans="1:1">
      <c r="A2752" s="22"/>
    </row>
    <row r="2753" spans="1:1">
      <c r="A2753" s="22"/>
    </row>
    <row r="2754" spans="1:1">
      <c r="A2754" s="22"/>
    </row>
    <row r="2755" spans="1:1">
      <c r="A2755" s="22"/>
    </row>
    <row r="2756" spans="1:1">
      <c r="A2756" s="22"/>
    </row>
    <row r="2757" spans="1:1">
      <c r="A2757" s="22"/>
    </row>
    <row r="2758" spans="1:1">
      <c r="A2758" s="22"/>
    </row>
    <row r="2759" spans="1:1">
      <c r="A2759" s="22"/>
    </row>
    <row r="2760" spans="1:1">
      <c r="A2760" s="22"/>
    </row>
    <row r="2761" spans="1:1">
      <c r="A2761" s="22"/>
    </row>
    <row r="2762" spans="1:1">
      <c r="A2762" s="22"/>
    </row>
    <row r="2763" spans="1:1">
      <c r="A2763" s="22"/>
    </row>
    <row r="2764" spans="1:1">
      <c r="A2764" s="22"/>
    </row>
    <row r="2765" spans="1:1">
      <c r="A2765" s="22"/>
    </row>
    <row r="2766" spans="1:1">
      <c r="A2766" s="22"/>
    </row>
    <row r="2767" spans="1:1">
      <c r="A2767" s="22"/>
    </row>
    <row r="2768" spans="1:1">
      <c r="A2768" s="22"/>
    </row>
    <row r="2769" spans="1:1">
      <c r="A2769" s="22"/>
    </row>
    <row r="2770" spans="1:1">
      <c r="A2770" s="22"/>
    </row>
    <row r="2771" spans="1:1">
      <c r="A2771" s="22"/>
    </row>
    <row r="2772" spans="1:1">
      <c r="A2772" s="22"/>
    </row>
    <row r="2773" spans="1:1">
      <c r="A2773" s="22"/>
    </row>
    <row r="2774" spans="1:1">
      <c r="A2774" s="22"/>
    </row>
    <row r="2775" spans="1:1">
      <c r="A2775" s="22"/>
    </row>
    <row r="2776" spans="1:1">
      <c r="A2776" s="22"/>
    </row>
    <row r="2777" spans="1:1">
      <c r="A2777" s="22"/>
    </row>
    <row r="2778" spans="1:1">
      <c r="A2778" s="22"/>
    </row>
    <row r="2779" spans="1:1">
      <c r="A2779" s="22"/>
    </row>
    <row r="2780" spans="1:1">
      <c r="A2780" s="22"/>
    </row>
    <row r="2781" spans="1:1">
      <c r="A2781" s="22"/>
    </row>
    <row r="2782" spans="1:1">
      <c r="A2782" s="22"/>
    </row>
    <row r="2783" spans="1:1">
      <c r="A2783" s="22"/>
    </row>
    <row r="2784" spans="1:1">
      <c r="A2784" s="22"/>
    </row>
    <row r="2785" spans="1:1">
      <c r="A2785" s="22"/>
    </row>
    <row r="2786" spans="1:1">
      <c r="A2786" s="22"/>
    </row>
    <row r="2787" spans="1:1">
      <c r="A2787" s="22"/>
    </row>
    <row r="2788" spans="1:1">
      <c r="A2788" s="22"/>
    </row>
    <row r="2789" spans="1:1">
      <c r="A2789" s="22"/>
    </row>
    <row r="2790" spans="1:1">
      <c r="A2790" s="22"/>
    </row>
    <row r="2791" spans="1:1">
      <c r="A2791" s="22"/>
    </row>
    <row r="2792" spans="1:1">
      <c r="A2792" s="22"/>
    </row>
    <row r="2793" spans="1:1">
      <c r="A2793" s="22"/>
    </row>
    <row r="2794" spans="1:1">
      <c r="A2794" s="22"/>
    </row>
    <row r="2795" spans="1:1">
      <c r="A2795" s="22"/>
    </row>
    <row r="2796" spans="1:1">
      <c r="A2796" s="22"/>
    </row>
    <row r="2797" spans="1:1">
      <c r="A2797" s="22"/>
    </row>
    <row r="2798" spans="1:1">
      <c r="A2798" s="22"/>
    </row>
    <row r="2799" spans="1:1">
      <c r="A2799" s="22"/>
    </row>
    <row r="2800" spans="1:1">
      <c r="A2800" s="22"/>
    </row>
    <row r="2801" spans="1:1">
      <c r="A2801" s="22"/>
    </row>
    <row r="2802" spans="1:1">
      <c r="A2802" s="22"/>
    </row>
    <row r="2803" spans="1:1">
      <c r="A2803" s="22"/>
    </row>
    <row r="2804" spans="1:1">
      <c r="A2804" s="22"/>
    </row>
    <row r="2805" spans="1:1">
      <c r="A2805" s="22"/>
    </row>
    <row r="2806" spans="1:1">
      <c r="A2806" s="22"/>
    </row>
    <row r="2807" spans="1:1">
      <c r="A2807" s="22"/>
    </row>
    <row r="2808" spans="1:1">
      <c r="A2808" s="22"/>
    </row>
    <row r="2809" spans="1:1">
      <c r="A2809" s="22"/>
    </row>
    <row r="2810" spans="1:1">
      <c r="A2810" s="22"/>
    </row>
    <row r="2811" spans="1:1">
      <c r="A2811" s="22"/>
    </row>
    <row r="2812" spans="1:1">
      <c r="A2812" s="22"/>
    </row>
    <row r="2813" spans="1:1">
      <c r="A2813" s="22"/>
    </row>
    <row r="2814" spans="1:1">
      <c r="A2814" s="22"/>
    </row>
    <row r="2815" spans="1:1">
      <c r="A2815" s="22"/>
    </row>
    <row r="2816" spans="1:1">
      <c r="A2816" s="22"/>
    </row>
    <row r="2817" spans="1:1">
      <c r="A2817" s="22"/>
    </row>
    <row r="2818" spans="1:1">
      <c r="A2818" s="22"/>
    </row>
    <row r="2819" spans="1:1">
      <c r="A2819" s="22"/>
    </row>
    <row r="2820" spans="1:1">
      <c r="A2820" s="22"/>
    </row>
    <row r="2821" spans="1:1">
      <c r="A2821" s="22"/>
    </row>
    <row r="2822" spans="1:1">
      <c r="A2822" s="22"/>
    </row>
    <row r="2823" spans="1:1">
      <c r="A2823" s="22"/>
    </row>
    <row r="2824" spans="1:1">
      <c r="A2824" s="22"/>
    </row>
    <row r="2825" spans="1:1">
      <c r="A2825" s="22"/>
    </row>
    <row r="2826" spans="1:1">
      <c r="A2826" s="22"/>
    </row>
    <row r="2827" spans="1:1">
      <c r="A2827" s="22"/>
    </row>
    <row r="2828" spans="1:1">
      <c r="A2828" s="22"/>
    </row>
    <row r="2829" spans="1:1">
      <c r="A2829" s="22"/>
    </row>
    <row r="2830" spans="1:1">
      <c r="A2830" s="22"/>
    </row>
    <row r="2831" spans="1:1">
      <c r="A2831" s="22"/>
    </row>
    <row r="2832" spans="1:1">
      <c r="A2832" s="22"/>
    </row>
    <row r="2833" spans="1:1">
      <c r="A2833" s="22"/>
    </row>
    <row r="2834" spans="1:1">
      <c r="A2834" s="22"/>
    </row>
    <row r="2835" spans="1:1">
      <c r="A2835" s="22"/>
    </row>
    <row r="2836" spans="1:1">
      <c r="A2836" s="22"/>
    </row>
    <row r="2837" spans="1:1">
      <c r="A2837" s="22"/>
    </row>
    <row r="2838" spans="1:1">
      <c r="A2838" s="22"/>
    </row>
    <row r="2839" spans="1:1">
      <c r="A2839" s="22"/>
    </row>
    <row r="2840" spans="1:1">
      <c r="A2840" s="22"/>
    </row>
    <row r="2841" spans="1:1">
      <c r="A2841" s="22"/>
    </row>
    <row r="2842" spans="1:1">
      <c r="A2842" s="22"/>
    </row>
    <row r="2843" spans="1:1">
      <c r="A2843" s="22"/>
    </row>
    <row r="2844" spans="1:1">
      <c r="A2844" s="22"/>
    </row>
    <row r="2845" spans="1:1">
      <c r="A2845" s="22"/>
    </row>
    <row r="2846" spans="1:1">
      <c r="A2846" s="22"/>
    </row>
    <row r="2847" spans="1:1">
      <c r="A2847" s="22"/>
    </row>
    <row r="2848" spans="1:1">
      <c r="A2848" s="22"/>
    </row>
    <row r="2849" spans="1:1">
      <c r="A2849" s="22"/>
    </row>
    <row r="2850" spans="1:1">
      <c r="A2850" s="22"/>
    </row>
    <row r="2851" spans="1:1">
      <c r="A2851" s="22"/>
    </row>
    <row r="2852" spans="1:1">
      <c r="A2852" s="22"/>
    </row>
    <row r="2853" spans="1:1">
      <c r="A2853" s="22"/>
    </row>
    <row r="2854" spans="1:1">
      <c r="A2854" s="22"/>
    </row>
    <row r="2855" spans="1:1">
      <c r="A2855" s="22"/>
    </row>
    <row r="2856" spans="1:1">
      <c r="A2856" s="22"/>
    </row>
    <row r="2857" spans="1:1">
      <c r="A2857" s="22"/>
    </row>
    <row r="2858" spans="1:1">
      <c r="A2858" s="22"/>
    </row>
    <row r="2859" spans="1:1">
      <c r="A2859" s="22"/>
    </row>
    <row r="2860" spans="1:1">
      <c r="A2860" s="22"/>
    </row>
    <row r="2861" spans="1:1">
      <c r="A2861" s="22"/>
    </row>
    <row r="2862" spans="1:1">
      <c r="A2862" s="22"/>
    </row>
    <row r="2863" spans="1:1">
      <c r="A2863" s="22"/>
    </row>
    <row r="2864" spans="1:1">
      <c r="A2864" s="22"/>
    </row>
    <row r="2865" spans="1:1">
      <c r="A2865" s="22"/>
    </row>
    <row r="2866" spans="1:1">
      <c r="A2866" s="22"/>
    </row>
    <row r="2867" spans="1:1">
      <c r="A2867" s="22"/>
    </row>
    <row r="2868" spans="1:1">
      <c r="A2868" s="22"/>
    </row>
    <row r="2869" spans="1:1">
      <c r="A2869" s="22"/>
    </row>
    <row r="2870" spans="1:1">
      <c r="A2870" s="22"/>
    </row>
    <row r="2871" spans="1:1">
      <c r="A2871" s="22"/>
    </row>
    <row r="2872" spans="1:1">
      <c r="A2872" s="22"/>
    </row>
    <row r="2873" spans="1:1">
      <c r="A2873" s="22"/>
    </row>
    <row r="2874" spans="1:1">
      <c r="A2874" s="22"/>
    </row>
    <row r="2875" spans="1:1">
      <c r="A2875" s="22"/>
    </row>
    <row r="2876" spans="1:1">
      <c r="A2876" s="22"/>
    </row>
    <row r="2877" spans="1:1">
      <c r="A2877" s="22"/>
    </row>
    <row r="2878" spans="1:1">
      <c r="A2878" s="22"/>
    </row>
    <row r="2879" spans="1:1">
      <c r="A2879" s="22"/>
    </row>
    <row r="2880" spans="1:1">
      <c r="A2880" s="22"/>
    </row>
    <row r="2881" spans="1:1">
      <c r="A2881" s="22"/>
    </row>
    <row r="2882" spans="1:1">
      <c r="A2882" s="22"/>
    </row>
    <row r="2883" spans="1:1">
      <c r="A2883" s="22"/>
    </row>
    <row r="2884" spans="1:1">
      <c r="A2884" s="22"/>
    </row>
    <row r="2885" spans="1:1">
      <c r="A2885" s="22"/>
    </row>
    <row r="2886" spans="1:1">
      <c r="A2886" s="22"/>
    </row>
    <row r="2887" spans="1:1">
      <c r="A2887" s="22"/>
    </row>
    <row r="2888" spans="1:1">
      <c r="A2888" s="22"/>
    </row>
    <row r="2889" spans="1:1">
      <c r="A2889" s="22"/>
    </row>
    <row r="2890" spans="1:1">
      <c r="A2890" s="22"/>
    </row>
    <row r="2891" spans="1:1">
      <c r="A2891" s="22"/>
    </row>
    <row r="2892" spans="1:1">
      <c r="A2892" s="22"/>
    </row>
    <row r="2893" spans="1:1">
      <c r="A2893" s="22"/>
    </row>
    <row r="2894" spans="1:1">
      <c r="A2894" s="22"/>
    </row>
    <row r="2895" spans="1:1">
      <c r="A2895" s="22"/>
    </row>
    <row r="2896" spans="1:1">
      <c r="A2896" s="22"/>
    </row>
    <row r="2897" spans="1:1">
      <c r="A2897" s="22"/>
    </row>
    <row r="2898" spans="1:1">
      <c r="A2898" s="22"/>
    </row>
    <row r="2899" spans="1:1">
      <c r="A2899" s="22"/>
    </row>
    <row r="2900" spans="1:1">
      <c r="A2900" s="22"/>
    </row>
    <row r="2901" spans="1:1">
      <c r="A2901" s="22"/>
    </row>
    <row r="2902" spans="1:1">
      <c r="A2902" s="22"/>
    </row>
    <row r="2903" spans="1:1">
      <c r="A2903" s="22"/>
    </row>
    <row r="2904" spans="1:1">
      <c r="A2904" s="22"/>
    </row>
    <row r="2905" spans="1:1">
      <c r="A2905" s="22"/>
    </row>
    <row r="2906" spans="1:1">
      <c r="A2906" s="22"/>
    </row>
    <row r="2907" spans="1:1">
      <c r="A2907" s="22"/>
    </row>
    <row r="2908" spans="1:1">
      <c r="A2908" s="22"/>
    </row>
    <row r="2909" spans="1:1">
      <c r="A2909" s="22"/>
    </row>
    <row r="2910" spans="1:1">
      <c r="A2910" s="22"/>
    </row>
    <row r="2911" spans="1:1">
      <c r="A2911" s="22"/>
    </row>
    <row r="2912" spans="1:1">
      <c r="A2912" s="22"/>
    </row>
    <row r="2913" spans="1:1">
      <c r="A2913" s="22"/>
    </row>
    <row r="2914" spans="1:1">
      <c r="A2914" s="22"/>
    </row>
    <row r="2915" spans="1:1">
      <c r="A2915" s="22"/>
    </row>
    <row r="2916" spans="1:1">
      <c r="A2916" s="22"/>
    </row>
    <row r="2917" spans="1:1">
      <c r="A2917" s="22"/>
    </row>
    <row r="2918" spans="1:1">
      <c r="A2918" s="22"/>
    </row>
    <row r="2919" spans="1:1">
      <c r="A2919" s="22"/>
    </row>
    <row r="2920" spans="1:1">
      <c r="A2920" s="22"/>
    </row>
    <row r="2921" spans="1:1">
      <c r="A2921" s="22"/>
    </row>
    <row r="2922" spans="1:1">
      <c r="A2922" s="22"/>
    </row>
    <row r="2923" spans="1:1">
      <c r="A2923" s="22"/>
    </row>
    <row r="2924" spans="1:1">
      <c r="A2924" s="22"/>
    </row>
    <row r="2925" spans="1:1">
      <c r="A2925" s="22"/>
    </row>
    <row r="2926" spans="1:1">
      <c r="A2926" s="22"/>
    </row>
    <row r="2927" spans="1:1">
      <c r="A2927" s="22"/>
    </row>
    <row r="2928" spans="1:1">
      <c r="A2928" s="22"/>
    </row>
    <row r="2929" spans="1:1">
      <c r="A2929" s="22"/>
    </row>
    <row r="2930" spans="1:1">
      <c r="A2930" s="22"/>
    </row>
    <row r="2931" spans="1:1">
      <c r="A2931" s="22"/>
    </row>
    <row r="2932" spans="1:1">
      <c r="A2932" s="22"/>
    </row>
    <row r="2933" spans="1:1">
      <c r="A2933" s="22"/>
    </row>
    <row r="2934" spans="1:1">
      <c r="A2934" s="22"/>
    </row>
    <row r="2935" spans="1:1">
      <c r="A2935" s="22"/>
    </row>
    <row r="2936" spans="1:1">
      <c r="A2936" s="22"/>
    </row>
    <row r="2937" spans="1:1">
      <c r="A2937" s="22"/>
    </row>
    <row r="2938" spans="1:1">
      <c r="A2938" s="22"/>
    </row>
    <row r="2939" spans="1:1">
      <c r="A2939" s="22"/>
    </row>
    <row r="2940" spans="1:1">
      <c r="A2940" s="22"/>
    </row>
    <row r="2941" spans="1:1">
      <c r="A2941" s="22"/>
    </row>
    <row r="2942" spans="1:1">
      <c r="A2942" s="22"/>
    </row>
    <row r="2943" spans="1:1">
      <c r="A2943" s="22"/>
    </row>
    <row r="2944" spans="1:1">
      <c r="A2944" s="22"/>
    </row>
    <row r="2945" spans="1:1">
      <c r="A2945" s="22"/>
    </row>
    <row r="2946" spans="1:1">
      <c r="A2946" s="22"/>
    </row>
    <row r="2947" spans="1:1">
      <c r="A2947" s="22"/>
    </row>
    <row r="2948" spans="1:1">
      <c r="A2948" s="22"/>
    </row>
    <row r="2949" spans="1:1">
      <c r="A2949" s="22"/>
    </row>
    <row r="2950" spans="1:1">
      <c r="A2950" s="22"/>
    </row>
    <row r="2951" spans="1:1">
      <c r="A2951" s="22"/>
    </row>
    <row r="2952" spans="1:1">
      <c r="A2952" s="22"/>
    </row>
    <row r="2953" spans="1:1">
      <c r="A2953" s="22"/>
    </row>
    <row r="2954" spans="1:1">
      <c r="A2954" s="22"/>
    </row>
    <row r="2955" spans="1:1">
      <c r="A2955" s="22"/>
    </row>
    <row r="2956" spans="1:1">
      <c r="A2956" s="22"/>
    </row>
    <row r="2957" spans="1:1">
      <c r="A2957" s="22"/>
    </row>
    <row r="2958" spans="1:1">
      <c r="A2958" s="22"/>
    </row>
    <row r="2959" spans="1:1">
      <c r="A2959" s="22"/>
    </row>
    <row r="2960" spans="1:1">
      <c r="A2960" s="22"/>
    </row>
    <row r="2961" spans="1:1">
      <c r="A2961" s="22"/>
    </row>
    <row r="2962" spans="1:1">
      <c r="A2962" s="22"/>
    </row>
    <row r="2963" spans="1:1">
      <c r="A2963" s="22"/>
    </row>
    <row r="2964" spans="1:1">
      <c r="A2964" s="22"/>
    </row>
    <row r="2965" spans="1:1">
      <c r="A2965" s="22"/>
    </row>
    <row r="2966" spans="1:1">
      <c r="A2966" s="22"/>
    </row>
    <row r="2967" spans="1:1">
      <c r="A2967" s="22"/>
    </row>
    <row r="2968" spans="1:1">
      <c r="A2968" s="22"/>
    </row>
    <row r="2969" spans="1:1">
      <c r="A2969" s="22"/>
    </row>
    <row r="2970" spans="1:1">
      <c r="A2970" s="22"/>
    </row>
    <row r="2971" spans="1:1">
      <c r="A2971" s="22"/>
    </row>
    <row r="2972" spans="1:1">
      <c r="A2972" s="22"/>
    </row>
    <row r="2973" spans="1:1">
      <c r="A2973" s="22"/>
    </row>
    <row r="2974" spans="1:1">
      <c r="A2974" s="22"/>
    </row>
    <row r="2975" spans="1:1">
      <c r="A2975" s="22"/>
    </row>
    <row r="2976" spans="1:1">
      <c r="A2976" s="22"/>
    </row>
    <row r="2977" spans="1:1">
      <c r="A2977" s="22"/>
    </row>
    <row r="2978" spans="1:1">
      <c r="A2978" s="22"/>
    </row>
    <row r="2979" spans="1:1">
      <c r="A2979" s="22"/>
    </row>
    <row r="2980" spans="1:1">
      <c r="A2980" s="22"/>
    </row>
    <row r="2981" spans="1:1">
      <c r="A2981" s="22"/>
    </row>
    <row r="2982" spans="1:1">
      <c r="A2982" s="22"/>
    </row>
    <row r="2983" spans="1:1">
      <c r="A2983" s="22"/>
    </row>
    <row r="2984" spans="1:1">
      <c r="A2984" s="22"/>
    </row>
    <row r="2985" spans="1:1">
      <c r="A2985" s="22"/>
    </row>
    <row r="2986" spans="1:1">
      <c r="A2986" s="22"/>
    </row>
    <row r="2987" spans="1:1">
      <c r="A2987" s="22"/>
    </row>
    <row r="2988" spans="1:1">
      <c r="A2988" s="22"/>
    </row>
    <row r="2989" spans="1:1">
      <c r="A2989" s="22"/>
    </row>
    <row r="2990" spans="1:1">
      <c r="A2990" s="22"/>
    </row>
    <row r="2991" spans="1:1">
      <c r="A2991" s="22"/>
    </row>
    <row r="2992" spans="1:1">
      <c r="A2992" s="22"/>
    </row>
    <row r="2993" spans="1:1">
      <c r="A2993" s="22"/>
    </row>
    <row r="2994" spans="1:1">
      <c r="A2994" s="22"/>
    </row>
    <row r="2995" spans="1:1">
      <c r="A2995" s="22"/>
    </row>
    <row r="2996" spans="1:1">
      <c r="A2996" s="22"/>
    </row>
    <row r="2997" spans="1:1">
      <c r="A2997" s="22"/>
    </row>
    <row r="2998" spans="1:1">
      <c r="A2998" s="22"/>
    </row>
    <row r="2999" spans="1:1">
      <c r="A2999" s="22"/>
    </row>
    <row r="3000" spans="1:1">
      <c r="A3000" s="22"/>
    </row>
    <row r="3001" spans="1:1">
      <c r="A3001" s="22"/>
    </row>
    <row r="3002" spans="1:1">
      <c r="A3002" s="22"/>
    </row>
    <row r="3003" spans="1:1">
      <c r="A3003" s="22"/>
    </row>
    <row r="3004" spans="1:1">
      <c r="A3004" s="22"/>
    </row>
    <row r="3005" spans="1:1">
      <c r="A3005" s="22"/>
    </row>
    <row r="3006" spans="1:1">
      <c r="A3006" s="22"/>
    </row>
    <row r="3007" spans="1:1">
      <c r="A3007" s="22"/>
    </row>
    <row r="3008" spans="1:1">
      <c r="A3008" s="22"/>
    </row>
    <row r="3009" spans="1:1">
      <c r="A3009" s="22"/>
    </row>
    <row r="3010" spans="1:1">
      <c r="A3010" s="22"/>
    </row>
    <row r="3011" spans="1:1">
      <c r="A3011" s="22"/>
    </row>
    <row r="3012" spans="1:1">
      <c r="A3012" s="22"/>
    </row>
    <row r="3013" spans="1:1">
      <c r="A3013" s="22"/>
    </row>
    <row r="3014" spans="1:1">
      <c r="A3014" s="22"/>
    </row>
    <row r="3015" spans="1:1">
      <c r="A3015" s="22"/>
    </row>
    <row r="3016" spans="1:1">
      <c r="A3016" s="22"/>
    </row>
    <row r="3017" spans="1:1">
      <c r="A3017" s="22"/>
    </row>
    <row r="3018" spans="1:1">
      <c r="A3018" s="22"/>
    </row>
    <row r="3019" spans="1:1">
      <c r="A3019" s="22"/>
    </row>
    <row r="3020" spans="1:1">
      <c r="A3020" s="22"/>
    </row>
    <row r="3021" spans="1:1">
      <c r="A3021" s="22"/>
    </row>
    <row r="3022" spans="1:1">
      <c r="A3022" s="22"/>
    </row>
    <row r="3023" spans="1:1">
      <c r="A3023" s="22"/>
    </row>
    <row r="3024" spans="1:1">
      <c r="A3024" s="22"/>
    </row>
    <row r="3025" spans="1:1">
      <c r="A3025" s="22"/>
    </row>
    <row r="3026" spans="1:1">
      <c r="A3026" s="22"/>
    </row>
    <row r="3027" spans="1:1">
      <c r="A3027" s="22"/>
    </row>
    <row r="3028" spans="1:1">
      <c r="A3028" s="22"/>
    </row>
    <row r="3029" spans="1:1">
      <c r="A3029" s="22"/>
    </row>
    <row r="3030" spans="1:1">
      <c r="A3030" s="22"/>
    </row>
    <row r="3031" spans="1:1">
      <c r="A3031" s="22"/>
    </row>
    <row r="3032" spans="1:1">
      <c r="A3032" s="22"/>
    </row>
    <row r="3033" spans="1:1">
      <c r="A3033" s="22"/>
    </row>
    <row r="3034" spans="1:1">
      <c r="A3034" s="22"/>
    </row>
    <row r="3035" spans="1:1">
      <c r="A3035" s="22"/>
    </row>
    <row r="3036" spans="1:1">
      <c r="A3036" s="22"/>
    </row>
    <row r="3037" spans="1:1">
      <c r="A3037" s="22"/>
    </row>
    <row r="3038" spans="1:1">
      <c r="A3038" s="22"/>
    </row>
    <row r="3039" spans="1:1">
      <c r="A3039" s="22"/>
    </row>
    <row r="3040" spans="1:1">
      <c r="A3040" s="22"/>
    </row>
    <row r="3041" spans="1:1">
      <c r="A3041" s="22"/>
    </row>
    <row r="3042" spans="1:1">
      <c r="A3042" s="22"/>
    </row>
    <row r="3043" spans="1:1">
      <c r="A3043" s="22"/>
    </row>
    <row r="3044" spans="1:1">
      <c r="A3044" s="22"/>
    </row>
    <row r="3045" spans="1:1">
      <c r="A3045" s="22"/>
    </row>
    <row r="3046" spans="1:1">
      <c r="A3046" s="22"/>
    </row>
    <row r="3047" spans="1:1">
      <c r="A3047" s="22"/>
    </row>
    <row r="3048" spans="1:1">
      <c r="A3048" s="22"/>
    </row>
    <row r="3049" spans="1:1">
      <c r="A3049" s="22"/>
    </row>
    <row r="3050" spans="1:1">
      <c r="A3050" s="22"/>
    </row>
    <row r="3051" spans="1:1">
      <c r="A3051" s="22"/>
    </row>
    <row r="3052" spans="1:1">
      <c r="A3052" s="22"/>
    </row>
    <row r="3053" spans="1:1">
      <c r="A3053" s="22"/>
    </row>
    <row r="3054" spans="1:1">
      <c r="A3054" s="22"/>
    </row>
    <row r="3055" spans="1:1">
      <c r="A3055" s="22"/>
    </row>
    <row r="3056" spans="1:1">
      <c r="A3056" s="22"/>
    </row>
    <row r="3057" spans="1:1">
      <c r="A3057" s="22"/>
    </row>
    <row r="3058" spans="1:1">
      <c r="A3058" s="22"/>
    </row>
    <row r="3059" spans="1:1">
      <c r="A3059" s="22"/>
    </row>
    <row r="3060" spans="1:1">
      <c r="A3060" s="22"/>
    </row>
    <row r="3061" spans="1:1">
      <c r="A3061" s="22"/>
    </row>
    <row r="3062" spans="1:1">
      <c r="A3062" s="22"/>
    </row>
    <row r="3063" spans="1:1">
      <c r="A3063" s="22"/>
    </row>
    <row r="3064" spans="1:1">
      <c r="A3064" s="22"/>
    </row>
    <row r="3065" spans="1:1">
      <c r="A3065" s="22"/>
    </row>
    <row r="3066" spans="1:1">
      <c r="A3066" s="22"/>
    </row>
    <row r="3067" spans="1:1">
      <c r="A3067" s="22"/>
    </row>
    <row r="3068" spans="1:1">
      <c r="A3068" s="22"/>
    </row>
    <row r="3069" spans="1:1">
      <c r="A3069" s="22"/>
    </row>
    <row r="3070" spans="1:1">
      <c r="A3070" s="22"/>
    </row>
    <row r="3071" spans="1:1">
      <c r="A3071" s="22"/>
    </row>
    <row r="3072" spans="1:1">
      <c r="A3072" s="22"/>
    </row>
    <row r="3073" spans="1:1">
      <c r="A3073" s="22"/>
    </row>
    <row r="3074" spans="1:1">
      <c r="A3074" s="22"/>
    </row>
    <row r="3075" spans="1:1">
      <c r="A3075" s="22"/>
    </row>
    <row r="3076" spans="1:1">
      <c r="A3076" s="22"/>
    </row>
    <row r="3077" spans="1:1">
      <c r="A3077" s="22"/>
    </row>
    <row r="3078" spans="1:1">
      <c r="A3078" s="22"/>
    </row>
    <row r="3079" spans="1:1">
      <c r="A3079" s="22"/>
    </row>
    <row r="3080" spans="1:1">
      <c r="A3080" s="22"/>
    </row>
    <row r="3081" spans="1:1">
      <c r="A3081" s="22"/>
    </row>
    <row r="3082" spans="1:1">
      <c r="A3082" s="22"/>
    </row>
    <row r="3083" spans="1:1">
      <c r="A3083" s="22"/>
    </row>
    <row r="3084" spans="1:1">
      <c r="A3084" s="22"/>
    </row>
    <row r="3085" spans="1:1">
      <c r="A3085" s="22"/>
    </row>
    <row r="3086" spans="1:1">
      <c r="A3086" s="22"/>
    </row>
    <row r="3087" spans="1:1">
      <c r="A3087" s="22"/>
    </row>
    <row r="3088" spans="1:1">
      <c r="A3088" s="22"/>
    </row>
    <row r="3089" spans="1:1">
      <c r="A3089" s="22"/>
    </row>
    <row r="3090" spans="1:1">
      <c r="A3090" s="22"/>
    </row>
    <row r="3091" spans="1:1">
      <c r="A3091" s="22"/>
    </row>
    <row r="3092" spans="1:1">
      <c r="A3092" s="22"/>
    </row>
    <row r="3093" spans="1:1">
      <c r="A3093" s="22"/>
    </row>
    <row r="3094" spans="1:1">
      <c r="A3094" s="22"/>
    </row>
    <row r="3095" spans="1:1">
      <c r="A3095" s="22"/>
    </row>
    <row r="3096" spans="1:1">
      <c r="A3096" s="22"/>
    </row>
    <row r="3097" spans="1:1">
      <c r="A3097" s="22"/>
    </row>
    <row r="3098" spans="1:1">
      <c r="A3098" s="22"/>
    </row>
    <row r="3099" spans="1:1">
      <c r="A3099" s="22"/>
    </row>
    <row r="3100" spans="1:1">
      <c r="A3100" s="22"/>
    </row>
    <row r="3101" spans="1:1">
      <c r="A3101" s="22"/>
    </row>
    <row r="3102" spans="1:1">
      <c r="A3102" s="22"/>
    </row>
    <row r="3103" spans="1:1">
      <c r="A3103" s="22"/>
    </row>
    <row r="3104" spans="1:1">
      <c r="A3104" s="22"/>
    </row>
    <row r="3105" spans="1:1">
      <c r="A3105" s="22"/>
    </row>
    <row r="3106" spans="1:1">
      <c r="A3106" s="22"/>
    </row>
    <row r="3107" spans="1:1">
      <c r="A3107" s="22"/>
    </row>
    <row r="3108" spans="1:1">
      <c r="A3108" s="22"/>
    </row>
    <row r="3109" spans="1:1">
      <c r="A3109" s="22"/>
    </row>
    <row r="3110" spans="1:1">
      <c r="A3110" s="22"/>
    </row>
    <row r="3111" spans="1:1">
      <c r="A3111" s="22"/>
    </row>
    <row r="3112" spans="1:1">
      <c r="A3112" s="22"/>
    </row>
    <row r="3113" spans="1:1">
      <c r="A3113" s="22"/>
    </row>
    <row r="3114" spans="1:1">
      <c r="A3114" s="22"/>
    </row>
    <row r="3115" spans="1:1">
      <c r="A3115" s="22"/>
    </row>
    <row r="3116" spans="1:1">
      <c r="A3116" s="22"/>
    </row>
    <row r="3117" spans="1:1">
      <c r="A3117" s="22"/>
    </row>
    <row r="3118" spans="1:1">
      <c r="A3118" s="22"/>
    </row>
    <row r="3119" spans="1:1">
      <c r="A3119" s="22"/>
    </row>
    <row r="3120" spans="1:1">
      <c r="A3120" s="22"/>
    </row>
    <row r="3121" spans="1:1">
      <c r="A3121" s="22"/>
    </row>
    <row r="3122" spans="1:1">
      <c r="A3122" s="22"/>
    </row>
    <row r="3123" spans="1:1">
      <c r="A3123" s="22"/>
    </row>
    <row r="3124" spans="1:1">
      <c r="A3124" s="22"/>
    </row>
    <row r="3125" spans="1:1">
      <c r="A3125" s="22"/>
    </row>
    <row r="3126" spans="1:1">
      <c r="A3126" s="22"/>
    </row>
    <row r="3127" spans="1:1">
      <c r="A3127" s="22"/>
    </row>
    <row r="3128" spans="1:1">
      <c r="A3128" s="22"/>
    </row>
    <row r="3129" spans="1:1">
      <c r="A3129" s="22"/>
    </row>
    <row r="3130" spans="1:1">
      <c r="A3130" s="22"/>
    </row>
    <row r="3131" spans="1:1">
      <c r="A3131" s="22"/>
    </row>
    <row r="3132" spans="1:1">
      <c r="A3132" s="22"/>
    </row>
    <row r="3133" spans="1:1">
      <c r="A3133" s="22"/>
    </row>
    <row r="3134" spans="1:1">
      <c r="A3134" s="22"/>
    </row>
    <row r="3135" spans="1:1">
      <c r="A3135" s="22"/>
    </row>
    <row r="3136" spans="1:1">
      <c r="A3136" s="22"/>
    </row>
    <row r="3137" spans="1:1">
      <c r="A3137" s="22"/>
    </row>
    <row r="3138" spans="1:1">
      <c r="A3138" s="22"/>
    </row>
    <row r="3139" spans="1:1">
      <c r="A3139" s="22"/>
    </row>
    <row r="3140" spans="1:1">
      <c r="A3140" s="22"/>
    </row>
    <row r="3141" spans="1:1">
      <c r="A3141" s="22"/>
    </row>
    <row r="3142" spans="1:1">
      <c r="A3142" s="22"/>
    </row>
    <row r="3143" spans="1:1">
      <c r="A3143" s="22"/>
    </row>
    <row r="3144" spans="1:1">
      <c r="A3144" s="22"/>
    </row>
    <row r="3145" spans="1:1">
      <c r="A3145" s="22"/>
    </row>
    <row r="3146" spans="1:1">
      <c r="A3146" s="22"/>
    </row>
    <row r="3147" spans="1:1">
      <c r="A3147" s="22"/>
    </row>
    <row r="3148" spans="1:1">
      <c r="A3148" s="22"/>
    </row>
    <row r="3149" spans="1:1">
      <c r="A3149" s="22"/>
    </row>
    <row r="3150" spans="1:1">
      <c r="A3150" s="22"/>
    </row>
    <row r="3151" spans="1:1">
      <c r="A3151" s="22"/>
    </row>
    <row r="3152" spans="1:1">
      <c r="A3152" s="22"/>
    </row>
    <row r="3153" spans="1:1">
      <c r="A3153" s="22"/>
    </row>
    <row r="3154" spans="1:1">
      <c r="A3154" s="22"/>
    </row>
    <row r="3155" spans="1:1">
      <c r="A3155" s="22"/>
    </row>
    <row r="3156" spans="1:1">
      <c r="A3156" s="22"/>
    </row>
    <row r="3157" spans="1:1">
      <c r="A3157" s="22"/>
    </row>
    <row r="3158" spans="1:1">
      <c r="A3158" s="22"/>
    </row>
    <row r="3159" spans="1:1">
      <c r="A3159" s="22"/>
    </row>
    <row r="3160" spans="1:1">
      <c r="A3160" s="22"/>
    </row>
    <row r="3161" spans="1:1">
      <c r="A3161" s="22"/>
    </row>
    <row r="3162" spans="1:1">
      <c r="A3162" s="22"/>
    </row>
    <row r="3163" spans="1:1">
      <c r="A3163" s="22"/>
    </row>
    <row r="3164" spans="1:1">
      <c r="A3164" s="22"/>
    </row>
    <row r="3165" spans="1:1">
      <c r="A3165" s="22"/>
    </row>
    <row r="3166" spans="1:1">
      <c r="A3166" s="22"/>
    </row>
    <row r="3167" spans="1:1">
      <c r="A3167" s="22"/>
    </row>
    <row r="3168" spans="1:1">
      <c r="A3168" s="22"/>
    </row>
    <row r="3169" spans="1:1">
      <c r="A3169" s="22"/>
    </row>
    <row r="3170" spans="1:1">
      <c r="A3170" s="22"/>
    </row>
    <row r="3171" spans="1:1">
      <c r="A3171" s="22"/>
    </row>
    <row r="3172" spans="1:1">
      <c r="A3172" s="22"/>
    </row>
    <row r="3173" spans="1:1">
      <c r="A3173" s="22"/>
    </row>
    <row r="3174" spans="1:1">
      <c r="A3174" s="22"/>
    </row>
    <row r="3175" spans="1:1">
      <c r="A3175" s="22"/>
    </row>
    <row r="3176" spans="1:1">
      <c r="A3176" s="22"/>
    </row>
    <row r="3177" spans="1:1">
      <c r="A3177" s="22"/>
    </row>
    <row r="3178" spans="1:1">
      <c r="A3178" s="22"/>
    </row>
    <row r="3179" spans="1:1">
      <c r="A3179" s="22"/>
    </row>
    <row r="3180" spans="1:1">
      <c r="A3180" s="22"/>
    </row>
    <row r="3181" spans="1:1">
      <c r="A3181" s="22"/>
    </row>
    <row r="3182" spans="1:1">
      <c r="A3182" s="22"/>
    </row>
    <row r="3183" spans="1:1">
      <c r="A3183" s="22"/>
    </row>
    <row r="3184" spans="1:1">
      <c r="A3184" s="22"/>
    </row>
    <row r="3185" spans="1:1">
      <c r="A3185" s="22"/>
    </row>
    <row r="3186" spans="1:1">
      <c r="A3186" s="22"/>
    </row>
    <row r="3187" spans="1:1">
      <c r="A3187" s="22"/>
    </row>
    <row r="3188" spans="1:1">
      <c r="A3188" s="22"/>
    </row>
    <row r="3189" spans="1:1">
      <c r="A3189" s="22"/>
    </row>
    <row r="3190" spans="1:1">
      <c r="A3190" s="22"/>
    </row>
    <row r="3191" spans="1:1">
      <c r="A3191" s="22"/>
    </row>
    <row r="3192" spans="1:1">
      <c r="A3192" s="22"/>
    </row>
    <row r="3193" spans="1:1">
      <c r="A3193" s="22"/>
    </row>
    <row r="3194" spans="1:1">
      <c r="A3194" s="22"/>
    </row>
    <row r="3195" spans="1:1">
      <c r="A3195" s="22"/>
    </row>
    <row r="3196" spans="1:1">
      <c r="A3196" s="22"/>
    </row>
    <row r="3197" spans="1:1">
      <c r="A3197" s="22"/>
    </row>
    <row r="3198" spans="1:1">
      <c r="A3198" s="22"/>
    </row>
    <row r="3199" spans="1:1">
      <c r="A3199" s="22"/>
    </row>
    <row r="3200" spans="1:1">
      <c r="A3200" s="22"/>
    </row>
    <row r="3201" spans="1:1">
      <c r="A3201" s="22"/>
    </row>
    <row r="3202" spans="1:1">
      <c r="A3202" s="22"/>
    </row>
    <row r="3203" spans="1:1">
      <c r="A3203" s="22"/>
    </row>
    <row r="3204" spans="1:1">
      <c r="A3204" s="22"/>
    </row>
    <row r="3205" spans="1:1">
      <c r="A3205" s="22"/>
    </row>
    <row r="3206" spans="1:1">
      <c r="A3206" s="22"/>
    </row>
    <row r="3207" spans="1:1">
      <c r="A3207" s="22"/>
    </row>
    <row r="3208" spans="1:1">
      <c r="A3208" s="22"/>
    </row>
    <row r="3209" spans="1:1">
      <c r="A3209" s="22"/>
    </row>
    <row r="3210" spans="1:1">
      <c r="A3210" s="22"/>
    </row>
    <row r="3211" spans="1:1">
      <c r="A3211" s="22"/>
    </row>
    <row r="3212" spans="1:1">
      <c r="A3212" s="22"/>
    </row>
    <row r="3213" spans="1:1">
      <c r="A3213" s="22"/>
    </row>
    <row r="3214" spans="1:1">
      <c r="A3214" s="22"/>
    </row>
    <row r="3215" spans="1:1">
      <c r="A3215" s="22"/>
    </row>
    <row r="3216" spans="1:1">
      <c r="A3216" s="22"/>
    </row>
    <row r="3217" spans="1:1">
      <c r="A3217" s="22"/>
    </row>
    <row r="3218" spans="1:1">
      <c r="A3218" s="22"/>
    </row>
    <row r="3219" spans="1:1">
      <c r="A3219" s="22"/>
    </row>
    <row r="3220" spans="1:1">
      <c r="A3220" s="22"/>
    </row>
    <row r="3221" spans="1:1">
      <c r="A3221" s="22"/>
    </row>
    <row r="3222" spans="1:1">
      <c r="A3222" s="22"/>
    </row>
    <row r="3223" spans="1:1">
      <c r="A3223" s="22"/>
    </row>
    <row r="3224" spans="1:1">
      <c r="A3224" s="22"/>
    </row>
    <row r="3225" spans="1:1">
      <c r="A3225" s="22"/>
    </row>
    <row r="3226" spans="1:1">
      <c r="A3226" s="22"/>
    </row>
    <row r="3227" spans="1:1">
      <c r="A3227" s="22"/>
    </row>
    <row r="3228" spans="1:1">
      <c r="A3228" s="22"/>
    </row>
    <row r="3229" spans="1:1">
      <c r="A3229" s="22"/>
    </row>
    <row r="3230" spans="1:1">
      <c r="A3230" s="22"/>
    </row>
    <row r="3231" spans="1:1">
      <c r="A3231" s="22"/>
    </row>
    <row r="3232" spans="1:1">
      <c r="A3232" s="22"/>
    </row>
    <row r="3233" spans="1:1">
      <c r="A3233" s="22"/>
    </row>
    <row r="3234" spans="1:1">
      <c r="A3234" s="22"/>
    </row>
    <row r="3235" spans="1:1">
      <c r="A3235" s="22"/>
    </row>
    <row r="3236" spans="1:1">
      <c r="A3236" s="22"/>
    </row>
    <row r="3237" spans="1:1">
      <c r="A3237" s="22"/>
    </row>
    <row r="3238" spans="1:1">
      <c r="A3238" s="22"/>
    </row>
    <row r="3239" spans="1:1">
      <c r="A3239" s="22"/>
    </row>
    <row r="3240" spans="1:1">
      <c r="A3240" s="22"/>
    </row>
    <row r="3241" spans="1:1">
      <c r="A3241" s="22"/>
    </row>
    <row r="3242" spans="1:1">
      <c r="A3242" s="22"/>
    </row>
    <row r="3243" spans="1:1">
      <c r="A3243" s="22"/>
    </row>
    <row r="3244" spans="1:1">
      <c r="A3244" s="22"/>
    </row>
    <row r="3245" spans="1:1">
      <c r="A3245" s="22"/>
    </row>
    <row r="3246" spans="1:1">
      <c r="A3246" s="22"/>
    </row>
    <row r="3247" spans="1:1">
      <c r="A3247" s="22"/>
    </row>
    <row r="3248" spans="1:1">
      <c r="A3248" s="22"/>
    </row>
    <row r="3249" spans="1:1">
      <c r="A3249" s="22"/>
    </row>
    <row r="3250" spans="1:1">
      <c r="A3250" s="22"/>
    </row>
    <row r="3251" spans="1:1">
      <c r="A3251" s="22"/>
    </row>
    <row r="3252" spans="1:1">
      <c r="A3252" s="22"/>
    </row>
    <row r="3253" spans="1:1">
      <c r="A3253" s="22"/>
    </row>
    <row r="3254" spans="1:1">
      <c r="A3254" s="22"/>
    </row>
    <row r="3255" spans="1:1">
      <c r="A3255" s="22"/>
    </row>
    <row r="3256" spans="1:1">
      <c r="A3256" s="22"/>
    </row>
    <row r="3257" spans="1:1">
      <c r="A3257" s="22"/>
    </row>
    <row r="3258" spans="1:1">
      <c r="A3258" s="22"/>
    </row>
    <row r="3259" spans="1:1">
      <c r="A3259" s="22"/>
    </row>
    <row r="3260" spans="1:1">
      <c r="A3260" s="22"/>
    </row>
    <row r="3261" spans="1:1">
      <c r="A3261" s="22"/>
    </row>
    <row r="3262" spans="1:1">
      <c r="A3262" s="22"/>
    </row>
    <row r="3263" spans="1:1">
      <c r="A3263" s="22"/>
    </row>
    <row r="3264" spans="1:1">
      <c r="A3264" s="22"/>
    </row>
    <row r="3265" spans="1:1">
      <c r="A3265" s="22"/>
    </row>
    <row r="3266" spans="1:1">
      <c r="A3266" s="22"/>
    </row>
    <row r="3267" spans="1:1">
      <c r="A3267" s="22"/>
    </row>
    <row r="3268" spans="1:1">
      <c r="A3268" s="22"/>
    </row>
    <row r="3269" spans="1:1">
      <c r="A3269" s="22"/>
    </row>
    <row r="3270" spans="1:1">
      <c r="A3270" s="22"/>
    </row>
    <row r="3271" spans="1:1">
      <c r="A3271" s="22"/>
    </row>
    <row r="3272" spans="1:1">
      <c r="A3272" s="22"/>
    </row>
    <row r="3273" spans="1:1">
      <c r="A3273" s="22"/>
    </row>
    <row r="3274" spans="1:1">
      <c r="A3274" s="22"/>
    </row>
    <row r="3275" spans="1:1">
      <c r="A3275" s="22"/>
    </row>
    <row r="3276" spans="1:1">
      <c r="A3276" s="22"/>
    </row>
    <row r="3277" spans="1:1">
      <c r="A3277" s="22"/>
    </row>
    <row r="3278" spans="1:1">
      <c r="A3278" s="22"/>
    </row>
    <row r="3279" spans="1:1">
      <c r="A3279" s="22"/>
    </row>
    <row r="3280" spans="1:1">
      <c r="A3280" s="22"/>
    </row>
    <row r="3281" spans="1:1">
      <c r="A3281" s="22"/>
    </row>
    <row r="3282" spans="1:1">
      <c r="A3282" s="22"/>
    </row>
    <row r="3283" spans="1:1">
      <c r="A3283" s="22"/>
    </row>
    <row r="3284" spans="1:1">
      <c r="A3284" s="22"/>
    </row>
    <row r="3285" spans="1:1">
      <c r="A3285" s="22"/>
    </row>
    <row r="3286" spans="1:1">
      <c r="A3286" s="22"/>
    </row>
    <row r="3287" spans="1:1">
      <c r="A3287" s="22"/>
    </row>
    <row r="3288" spans="1:1">
      <c r="A3288" s="22"/>
    </row>
    <row r="3289" spans="1:1">
      <c r="A3289" s="22"/>
    </row>
    <row r="3290" spans="1:1">
      <c r="A3290" s="22"/>
    </row>
    <row r="3291" spans="1:1">
      <c r="A3291" s="22"/>
    </row>
    <row r="3292" spans="1:1">
      <c r="A3292" s="22"/>
    </row>
    <row r="3293" spans="1:1">
      <c r="A3293" s="22"/>
    </row>
    <row r="3294" spans="1:1">
      <c r="A3294" s="22"/>
    </row>
    <row r="3295" spans="1:1">
      <c r="A3295" s="22"/>
    </row>
    <row r="3296" spans="1:1">
      <c r="A3296" s="22"/>
    </row>
    <row r="3297" spans="1:1">
      <c r="A3297" s="22"/>
    </row>
    <row r="3298" spans="1:1">
      <c r="A3298" s="22"/>
    </row>
    <row r="3299" spans="1:1">
      <c r="A3299" s="22"/>
    </row>
    <row r="3300" spans="1:1">
      <c r="A3300" s="22"/>
    </row>
    <row r="3301" spans="1:1">
      <c r="A3301" s="22"/>
    </row>
    <row r="3302" spans="1:1">
      <c r="A3302" s="22"/>
    </row>
    <row r="3303" spans="1:1">
      <c r="A3303" s="22"/>
    </row>
    <row r="3304" spans="1:1">
      <c r="A3304" s="22"/>
    </row>
    <row r="3305" spans="1:1">
      <c r="A3305" s="22"/>
    </row>
    <row r="3306" spans="1:1">
      <c r="A3306" s="22"/>
    </row>
    <row r="3307" spans="1:1">
      <c r="A3307" s="22"/>
    </row>
    <row r="3308" spans="1:1">
      <c r="A3308" s="22"/>
    </row>
    <row r="3309" spans="1:1">
      <c r="A3309" s="22"/>
    </row>
    <row r="3310" spans="1:1">
      <c r="A3310" s="22"/>
    </row>
    <row r="3311" spans="1:1">
      <c r="A3311" s="22"/>
    </row>
    <row r="3312" spans="1:1">
      <c r="A3312" s="22"/>
    </row>
    <row r="3313" spans="1:1">
      <c r="A3313" s="22"/>
    </row>
    <row r="3314" spans="1:1">
      <c r="A3314" s="22"/>
    </row>
    <row r="3315" spans="1:1">
      <c r="A3315" s="22"/>
    </row>
    <row r="3316" spans="1:1">
      <c r="A3316" s="22"/>
    </row>
    <row r="3317" spans="1:1">
      <c r="A3317" s="22"/>
    </row>
    <row r="3318" spans="1:1">
      <c r="A3318" s="22"/>
    </row>
    <row r="3319" spans="1:1">
      <c r="A3319" s="22"/>
    </row>
    <row r="3320" spans="1:1">
      <c r="A3320" s="22"/>
    </row>
    <row r="3321" spans="1:1">
      <c r="A3321" s="22"/>
    </row>
    <row r="3322" spans="1:1">
      <c r="A3322" s="22"/>
    </row>
    <row r="3323" spans="1:1">
      <c r="A3323" s="22"/>
    </row>
    <row r="3324" spans="1:1">
      <c r="A3324" s="22"/>
    </row>
    <row r="3325" spans="1:1">
      <c r="A3325" s="22"/>
    </row>
    <row r="3326" spans="1:1">
      <c r="A3326" s="22"/>
    </row>
    <row r="3327" spans="1:1">
      <c r="A3327" s="22"/>
    </row>
    <row r="3328" spans="1:1">
      <c r="A3328" s="22"/>
    </row>
    <row r="3329" spans="1:1">
      <c r="A3329" s="22"/>
    </row>
    <row r="3330" spans="1:1">
      <c r="A3330" s="22"/>
    </row>
    <row r="3331" spans="1:1">
      <c r="A3331" s="22"/>
    </row>
    <row r="3332" spans="1:1">
      <c r="A3332" s="22"/>
    </row>
    <row r="3333" spans="1:1">
      <c r="A3333" s="22"/>
    </row>
    <row r="3334" spans="1:1">
      <c r="A3334" s="22"/>
    </row>
    <row r="3335" spans="1:1">
      <c r="A3335" s="22"/>
    </row>
    <row r="3336" spans="1:1">
      <c r="A3336" s="22"/>
    </row>
    <row r="3337" spans="1:1">
      <c r="A3337" s="22"/>
    </row>
    <row r="3338" spans="1:1">
      <c r="A3338" s="22"/>
    </row>
    <row r="3339" spans="1:1">
      <c r="A3339" s="22"/>
    </row>
    <row r="3340" spans="1:1">
      <c r="A3340" s="22"/>
    </row>
    <row r="3341" spans="1:1">
      <c r="A3341" s="22"/>
    </row>
    <row r="3342" spans="1:1">
      <c r="A3342" s="22"/>
    </row>
    <row r="3343" spans="1:1">
      <c r="A3343" s="22"/>
    </row>
    <row r="3344" spans="1:1">
      <c r="A3344" s="22"/>
    </row>
    <row r="3345" spans="1:1">
      <c r="A3345" s="22"/>
    </row>
    <row r="3346" spans="1:1">
      <c r="A3346" s="22"/>
    </row>
    <row r="3347" spans="1:1">
      <c r="A3347" s="22"/>
    </row>
    <row r="3348" spans="1:1">
      <c r="A3348" s="22"/>
    </row>
    <row r="3349" spans="1:1">
      <c r="A3349" s="22"/>
    </row>
    <row r="3350" spans="1:1">
      <c r="A3350" s="22"/>
    </row>
    <row r="3351" spans="1:1">
      <c r="A3351" s="22"/>
    </row>
    <row r="3352" spans="1:1">
      <c r="A3352" s="22"/>
    </row>
    <row r="3353" spans="1:1">
      <c r="A3353" s="22"/>
    </row>
    <row r="3354" spans="1:1">
      <c r="A3354" s="22"/>
    </row>
    <row r="3355" spans="1:1">
      <c r="A3355" s="22"/>
    </row>
    <row r="3356" spans="1:1">
      <c r="A3356" s="22"/>
    </row>
    <row r="3357" spans="1:1">
      <c r="A3357" s="22"/>
    </row>
    <row r="3358" spans="1:1">
      <c r="A3358" s="22"/>
    </row>
    <row r="3359" spans="1:1">
      <c r="A3359" s="22"/>
    </row>
    <row r="3360" spans="1:1">
      <c r="A3360" s="22"/>
    </row>
    <row r="3361" spans="1:1">
      <c r="A3361" s="22"/>
    </row>
    <row r="3362" spans="1:1">
      <c r="A3362" s="22"/>
    </row>
    <row r="3363" spans="1:1">
      <c r="A3363" s="22"/>
    </row>
    <row r="3364" spans="1:1">
      <c r="A3364" s="22"/>
    </row>
    <row r="3365" spans="1:1">
      <c r="A3365" s="22"/>
    </row>
    <row r="3366" spans="1:1">
      <c r="A3366" s="22"/>
    </row>
    <row r="3367" spans="1:1">
      <c r="A3367" s="22"/>
    </row>
    <row r="3368" spans="1:1">
      <c r="A3368" s="22"/>
    </row>
    <row r="3369" spans="1:1">
      <c r="A3369" s="22"/>
    </row>
    <row r="3370" spans="1:1">
      <c r="A3370" s="22"/>
    </row>
    <row r="3371" spans="1:1">
      <c r="A3371" s="22"/>
    </row>
    <row r="3372" spans="1:1">
      <c r="A3372" s="22"/>
    </row>
    <row r="3373" spans="1:1">
      <c r="A3373" s="22"/>
    </row>
    <row r="3374" spans="1:1">
      <c r="A3374" s="22"/>
    </row>
    <row r="3375" spans="1:1">
      <c r="A3375" s="22"/>
    </row>
    <row r="3376" spans="1:1">
      <c r="A3376" s="22"/>
    </row>
    <row r="3377" spans="1:1">
      <c r="A3377" s="22"/>
    </row>
    <row r="3378" spans="1:1">
      <c r="A3378" s="22"/>
    </row>
    <row r="3379" spans="1:1">
      <c r="A3379" s="22"/>
    </row>
    <row r="3380" spans="1:1">
      <c r="A3380" s="22"/>
    </row>
    <row r="3381" spans="1:1">
      <c r="A3381" s="22"/>
    </row>
    <row r="3382" spans="1:1">
      <c r="A3382" s="22"/>
    </row>
    <row r="3383" spans="1:1">
      <c r="A3383" s="22"/>
    </row>
    <row r="3384" spans="1:1">
      <c r="A3384" s="22"/>
    </row>
    <row r="3385" spans="1:1">
      <c r="A3385" s="22"/>
    </row>
    <row r="3386" spans="1:1">
      <c r="A3386" s="22"/>
    </row>
    <row r="3387" spans="1:1">
      <c r="A3387" s="22"/>
    </row>
    <row r="3388" spans="1:1">
      <c r="A3388" s="22"/>
    </row>
    <row r="3389" spans="1:1">
      <c r="A3389" s="22"/>
    </row>
    <row r="3390" spans="1:1">
      <c r="A3390" s="22"/>
    </row>
    <row r="3391" spans="1:1">
      <c r="A3391" s="22"/>
    </row>
    <row r="3392" spans="1:1">
      <c r="A3392" s="22"/>
    </row>
    <row r="3393" spans="1:1">
      <c r="A3393" s="22"/>
    </row>
    <row r="3394" spans="1:1">
      <c r="A3394" s="22"/>
    </row>
    <row r="3395" spans="1:1">
      <c r="A3395" s="22"/>
    </row>
    <row r="3396" spans="1:1">
      <c r="A3396" s="22"/>
    </row>
    <row r="3397" spans="1:1">
      <c r="A3397" s="22"/>
    </row>
    <row r="3398" spans="1:1">
      <c r="A3398" s="22"/>
    </row>
    <row r="3399" spans="1:1">
      <c r="A3399" s="22"/>
    </row>
    <row r="3400" spans="1:1">
      <c r="A3400" s="22"/>
    </row>
    <row r="3401" spans="1:1">
      <c r="A3401" s="22"/>
    </row>
    <row r="3402" spans="1:1">
      <c r="A3402" s="22"/>
    </row>
    <row r="3403" spans="1:1">
      <c r="A3403" s="22"/>
    </row>
    <row r="3404" spans="1:1">
      <c r="A3404" s="22"/>
    </row>
    <row r="3405" spans="1:1">
      <c r="A3405" s="22"/>
    </row>
    <row r="3406" spans="1:1">
      <c r="A3406" s="22"/>
    </row>
    <row r="3407" spans="1:1">
      <c r="A3407" s="22"/>
    </row>
    <row r="3408" spans="1:1">
      <c r="A3408" s="22"/>
    </row>
    <row r="3409" spans="1:1">
      <c r="A3409" s="22"/>
    </row>
    <row r="3410" spans="1:1">
      <c r="A3410" s="22"/>
    </row>
    <row r="3411" spans="1:1">
      <c r="A3411" s="22"/>
    </row>
    <row r="3412" spans="1:1">
      <c r="A3412" s="22"/>
    </row>
    <row r="3413" spans="1:1">
      <c r="A3413" s="22"/>
    </row>
    <row r="3414" spans="1:1">
      <c r="A3414" s="22"/>
    </row>
    <row r="3415" spans="1:1">
      <c r="A3415" s="22"/>
    </row>
    <row r="3416" spans="1:1">
      <c r="A3416" s="22"/>
    </row>
    <row r="3417" spans="1:1">
      <c r="A3417" s="22"/>
    </row>
    <row r="3418" spans="1:1">
      <c r="A3418" s="22"/>
    </row>
    <row r="3419" spans="1:1">
      <c r="A3419" s="22"/>
    </row>
    <row r="3420" spans="1:1">
      <c r="A3420" s="22"/>
    </row>
    <row r="3421" spans="1:1">
      <c r="A3421" s="22"/>
    </row>
    <row r="3422" spans="1:1">
      <c r="A3422" s="22"/>
    </row>
    <row r="3423" spans="1:1">
      <c r="A3423" s="22"/>
    </row>
    <row r="3424" spans="1:1">
      <c r="A3424" s="22"/>
    </row>
    <row r="3425" spans="1:1">
      <c r="A3425" s="22"/>
    </row>
    <row r="3426" spans="1:1">
      <c r="A3426" s="22"/>
    </row>
    <row r="3427" spans="1:1">
      <c r="A3427" s="22"/>
    </row>
    <row r="3428" spans="1:1">
      <c r="A3428" s="22"/>
    </row>
    <row r="3429" spans="1:1">
      <c r="A3429" s="22"/>
    </row>
    <row r="3430" spans="1:1">
      <c r="A3430" s="22"/>
    </row>
    <row r="3431" spans="1:1">
      <c r="A3431" s="22"/>
    </row>
    <row r="3432" spans="1:1">
      <c r="A3432" s="22"/>
    </row>
    <row r="3433" spans="1:1">
      <c r="A3433" s="22"/>
    </row>
    <row r="3434" spans="1:1">
      <c r="A3434" s="22"/>
    </row>
    <row r="3435" spans="1:1">
      <c r="A3435" s="22"/>
    </row>
    <row r="3436" spans="1:1">
      <c r="A3436" s="22"/>
    </row>
    <row r="3437" spans="1:1">
      <c r="A3437" s="22"/>
    </row>
    <row r="3438" spans="1:1">
      <c r="A3438" s="22"/>
    </row>
    <row r="3439" spans="1:1">
      <c r="A3439" s="22"/>
    </row>
    <row r="3440" spans="1:1">
      <c r="A3440" s="22"/>
    </row>
    <row r="3441" spans="1:1">
      <c r="A3441" s="22"/>
    </row>
    <row r="3442" spans="1:1">
      <c r="A3442" s="22"/>
    </row>
    <row r="3443" spans="1:1">
      <c r="A3443" s="22"/>
    </row>
    <row r="3444" spans="1:1">
      <c r="A3444" s="22"/>
    </row>
    <row r="3445" spans="1:1">
      <c r="A3445" s="22"/>
    </row>
    <row r="3446" spans="1:1">
      <c r="A3446" s="22"/>
    </row>
    <row r="3447" spans="1:1">
      <c r="A3447" s="22"/>
    </row>
    <row r="3448" spans="1:1">
      <c r="A3448" s="22"/>
    </row>
    <row r="3449" spans="1:1">
      <c r="A3449" s="22"/>
    </row>
    <row r="3450" spans="1:1">
      <c r="A3450" s="22"/>
    </row>
    <row r="3451" spans="1:1">
      <c r="A3451" s="22"/>
    </row>
    <row r="3452" spans="1:1">
      <c r="A3452" s="22"/>
    </row>
    <row r="3453" spans="1:1">
      <c r="A3453" s="22"/>
    </row>
    <row r="3454" spans="1:1">
      <c r="A3454" s="22"/>
    </row>
    <row r="3455" spans="1:1">
      <c r="A3455" s="22"/>
    </row>
    <row r="3456" spans="1:1">
      <c r="A3456" s="22"/>
    </row>
    <row r="3457" spans="1:1">
      <c r="A3457" s="22"/>
    </row>
    <row r="3458" spans="1:1">
      <c r="A3458" s="22"/>
    </row>
    <row r="3459" spans="1:1">
      <c r="A3459" s="22"/>
    </row>
    <row r="3460" spans="1:1">
      <c r="A3460" s="22"/>
    </row>
    <row r="3461" spans="1:1">
      <c r="A3461" s="22"/>
    </row>
    <row r="3462" spans="1:1">
      <c r="A3462" s="22"/>
    </row>
    <row r="3463" spans="1:1">
      <c r="A3463" s="22"/>
    </row>
    <row r="3464" spans="1:1">
      <c r="A3464" s="22"/>
    </row>
    <row r="3465" spans="1:1">
      <c r="A3465" s="22"/>
    </row>
    <row r="3466" spans="1:1">
      <c r="A3466" s="22"/>
    </row>
    <row r="3467" spans="1:1">
      <c r="A3467" s="22"/>
    </row>
    <row r="3468" spans="1:1">
      <c r="A3468" s="22"/>
    </row>
    <row r="3469" spans="1:1">
      <c r="A3469" s="22"/>
    </row>
    <row r="3470" spans="1:1">
      <c r="A3470" s="22"/>
    </row>
    <row r="3471" spans="1:1">
      <c r="A3471" s="22"/>
    </row>
    <row r="3472" spans="1:1">
      <c r="A3472" s="22"/>
    </row>
    <row r="3473" spans="1:1">
      <c r="A3473" s="22"/>
    </row>
    <row r="3474" spans="1:1">
      <c r="A3474" s="22"/>
    </row>
    <row r="3475" spans="1:1">
      <c r="A3475" s="22"/>
    </row>
    <row r="3476" spans="1:1">
      <c r="A3476" s="22"/>
    </row>
    <row r="3477" spans="1:1">
      <c r="A3477" s="22"/>
    </row>
    <row r="3478" spans="1:1">
      <c r="A3478" s="22"/>
    </row>
    <row r="3479" spans="1:1">
      <c r="A3479" s="22"/>
    </row>
    <row r="3480" spans="1:1">
      <c r="A3480" s="22"/>
    </row>
    <row r="3481" spans="1:1">
      <c r="A3481" s="22"/>
    </row>
    <row r="3482" spans="1:1">
      <c r="A3482" s="22"/>
    </row>
    <row r="3483" spans="1:1">
      <c r="A3483" s="22"/>
    </row>
    <row r="3484" spans="1:1">
      <c r="A3484" s="22"/>
    </row>
    <row r="3485" spans="1:1">
      <c r="A3485" s="22"/>
    </row>
    <row r="3486" spans="1:1">
      <c r="A3486" s="22"/>
    </row>
    <row r="3487" spans="1:1">
      <c r="A3487" s="22"/>
    </row>
    <row r="3488" spans="1:1">
      <c r="A3488" s="22"/>
    </row>
    <row r="3489" spans="1:1">
      <c r="A3489" s="22"/>
    </row>
    <row r="3490" spans="1:1">
      <c r="A3490" s="22"/>
    </row>
    <row r="3491" spans="1:1">
      <c r="A3491" s="22"/>
    </row>
    <row r="3492" spans="1:1">
      <c r="A3492" s="22"/>
    </row>
    <row r="3493" spans="1:1">
      <c r="A3493" s="22"/>
    </row>
    <row r="3494" spans="1:1">
      <c r="A3494" s="22"/>
    </row>
    <row r="3495" spans="1:1">
      <c r="A3495" s="22"/>
    </row>
    <row r="3496" spans="1:1">
      <c r="A3496" s="22"/>
    </row>
    <row r="3497" spans="1:1">
      <c r="A3497" s="22"/>
    </row>
    <row r="3498" spans="1:1">
      <c r="A3498" s="22"/>
    </row>
    <row r="3499" spans="1:1">
      <c r="A3499" s="22"/>
    </row>
    <row r="3500" spans="1:1">
      <c r="A3500" s="22"/>
    </row>
    <row r="3501" spans="1:1">
      <c r="A3501" s="22"/>
    </row>
    <row r="3502" spans="1:1">
      <c r="A3502" s="22"/>
    </row>
    <row r="3503" spans="1:1">
      <c r="A3503" s="22"/>
    </row>
    <row r="3504" spans="1:1">
      <c r="A3504" s="22"/>
    </row>
    <row r="3505" spans="1:1">
      <c r="A3505" s="22"/>
    </row>
    <row r="3506" spans="1:1">
      <c r="A3506" s="22"/>
    </row>
    <row r="3507" spans="1:1">
      <c r="A3507" s="22"/>
    </row>
    <row r="3508" spans="1:1">
      <c r="A3508" s="22"/>
    </row>
    <row r="3509" spans="1:1">
      <c r="A3509" s="22"/>
    </row>
    <row r="3510" spans="1:1">
      <c r="A3510" s="22"/>
    </row>
    <row r="3511" spans="1:1">
      <c r="A3511" s="22"/>
    </row>
    <row r="3512" spans="1:1">
      <c r="A3512" s="22"/>
    </row>
    <row r="3513" spans="1:1">
      <c r="A3513" s="22"/>
    </row>
    <row r="3514" spans="1:1">
      <c r="A3514" s="22"/>
    </row>
    <row r="3515" spans="1:1">
      <c r="A3515" s="22"/>
    </row>
    <row r="3516" spans="1:1">
      <c r="A3516" s="22"/>
    </row>
    <row r="3517" spans="1:1">
      <c r="A3517" s="22"/>
    </row>
    <row r="3518" spans="1:1">
      <c r="A3518" s="22"/>
    </row>
    <row r="3519" spans="1:1">
      <c r="A3519" s="22"/>
    </row>
    <row r="3520" spans="1:1">
      <c r="A3520" s="22"/>
    </row>
    <row r="3521" spans="1:1">
      <c r="A3521" s="22"/>
    </row>
    <row r="3522" spans="1:1">
      <c r="A3522" s="22"/>
    </row>
    <row r="3523" spans="1:1">
      <c r="A3523" s="22"/>
    </row>
    <row r="3524" spans="1:1">
      <c r="A3524" s="22"/>
    </row>
    <row r="3525" spans="1:1">
      <c r="A3525" s="22"/>
    </row>
    <row r="3526" spans="1:1">
      <c r="A3526" s="22"/>
    </row>
    <row r="3527" spans="1:1">
      <c r="A3527" s="22"/>
    </row>
    <row r="3528" spans="1:1">
      <c r="A3528" s="22"/>
    </row>
    <row r="3529" spans="1:1">
      <c r="A3529" s="22"/>
    </row>
    <row r="3530" spans="1:1">
      <c r="A3530" s="22"/>
    </row>
    <row r="3531" spans="1:1">
      <c r="A3531" s="22"/>
    </row>
    <row r="3532" spans="1:1">
      <c r="A3532" s="22"/>
    </row>
    <row r="3533" spans="1:1">
      <c r="A3533" s="22"/>
    </row>
    <row r="3534" spans="1:1">
      <c r="A3534" s="22"/>
    </row>
    <row r="3535" spans="1:1">
      <c r="A3535" s="22"/>
    </row>
    <row r="3536" spans="1:1">
      <c r="A3536" s="22"/>
    </row>
    <row r="3537" spans="1:1">
      <c r="A3537" s="22"/>
    </row>
    <row r="3538" spans="1:1">
      <c r="A3538" s="22"/>
    </row>
    <row r="3539" spans="1:1">
      <c r="A3539" s="22"/>
    </row>
    <row r="3540" spans="1:1">
      <c r="A3540" s="22"/>
    </row>
    <row r="3541" spans="1:1">
      <c r="A3541" s="22"/>
    </row>
    <row r="3542" spans="1:1">
      <c r="A3542" s="22"/>
    </row>
    <row r="3543" spans="1:1">
      <c r="A3543" s="22"/>
    </row>
    <row r="3544" spans="1:1">
      <c r="A3544" s="22"/>
    </row>
    <row r="3545" spans="1:1">
      <c r="A3545" s="22"/>
    </row>
    <row r="3546" spans="1:1">
      <c r="A3546" s="22"/>
    </row>
    <row r="3547" spans="1:1">
      <c r="A3547" s="22"/>
    </row>
    <row r="3548" spans="1:1">
      <c r="A3548" s="22"/>
    </row>
    <row r="3549" spans="1:1">
      <c r="A3549" s="22"/>
    </row>
    <row r="3550" spans="1:1">
      <c r="A3550" s="22"/>
    </row>
    <row r="3551" spans="1:1">
      <c r="A3551" s="22"/>
    </row>
    <row r="3552" spans="1:1">
      <c r="A3552" s="22"/>
    </row>
    <row r="3553" spans="1:1">
      <c r="A3553" s="22"/>
    </row>
    <row r="3554" spans="1:1">
      <c r="A3554" s="22"/>
    </row>
    <row r="3555" spans="1:1">
      <c r="A3555" s="22"/>
    </row>
    <row r="3556" spans="1:1">
      <c r="A3556" s="22"/>
    </row>
    <row r="3557" spans="1:1">
      <c r="A3557" s="22"/>
    </row>
    <row r="3558" spans="1:1">
      <c r="A3558" s="22"/>
    </row>
    <row r="3559" spans="1:1">
      <c r="A3559" s="22"/>
    </row>
    <row r="3560" spans="1:1">
      <c r="A3560" s="22"/>
    </row>
    <row r="3561" spans="1:1">
      <c r="A3561" s="22"/>
    </row>
    <row r="3562" spans="1:1">
      <c r="A3562" s="22"/>
    </row>
    <row r="3563" spans="1:1">
      <c r="A3563" s="22"/>
    </row>
    <row r="3564" spans="1:1">
      <c r="A3564" s="22"/>
    </row>
    <row r="3565" spans="1:1">
      <c r="A3565" s="22"/>
    </row>
    <row r="3566" spans="1:1">
      <c r="A3566" s="22"/>
    </row>
    <row r="3567" spans="1:1">
      <c r="A3567" s="22"/>
    </row>
    <row r="3568" spans="1:1">
      <c r="A3568" s="22"/>
    </row>
    <row r="3569" spans="1:1">
      <c r="A3569" s="22"/>
    </row>
    <row r="3570" spans="1:1">
      <c r="A3570" s="22"/>
    </row>
    <row r="3571" spans="1:1">
      <c r="A3571" s="22"/>
    </row>
    <row r="3572" spans="1:1">
      <c r="A3572" s="22"/>
    </row>
    <row r="3573" spans="1:1">
      <c r="A3573" s="22"/>
    </row>
    <row r="3574" spans="1:1">
      <c r="A3574" s="22"/>
    </row>
    <row r="3575" spans="1:1">
      <c r="A3575" s="22"/>
    </row>
    <row r="3576" spans="1:1">
      <c r="A3576" s="22"/>
    </row>
    <row r="3577" spans="1:1">
      <c r="A3577" s="22"/>
    </row>
    <row r="3578" spans="1:1">
      <c r="A3578" s="22"/>
    </row>
    <row r="3579" spans="1:1">
      <c r="A3579" s="22"/>
    </row>
    <row r="3580" spans="1:1">
      <c r="A3580" s="22"/>
    </row>
    <row r="3581" spans="1:1">
      <c r="A3581" s="22"/>
    </row>
    <row r="3582" spans="1:1">
      <c r="A3582" s="22"/>
    </row>
    <row r="3583" spans="1:1">
      <c r="A3583" s="22"/>
    </row>
    <row r="3584" spans="1:1">
      <c r="A3584" s="22"/>
    </row>
    <row r="3585" spans="1:1">
      <c r="A3585" s="22"/>
    </row>
    <row r="3586" spans="1:1">
      <c r="A3586" s="22"/>
    </row>
    <row r="3587" spans="1:1">
      <c r="A3587" s="22"/>
    </row>
    <row r="3588" spans="1:1">
      <c r="A3588" s="22"/>
    </row>
    <row r="3589" spans="1:1">
      <c r="A3589" s="22"/>
    </row>
    <row r="3590" spans="1:1">
      <c r="A3590" s="22"/>
    </row>
    <row r="3591" spans="1:1">
      <c r="A3591" s="22"/>
    </row>
    <row r="3592" spans="1:1">
      <c r="A3592" s="22"/>
    </row>
    <row r="3593" spans="1:1">
      <c r="A3593" s="22"/>
    </row>
    <row r="3594" spans="1:1">
      <c r="A3594" s="22"/>
    </row>
    <row r="3595" spans="1:1">
      <c r="A3595" s="22"/>
    </row>
    <row r="3596" spans="1:1">
      <c r="A3596" s="22"/>
    </row>
    <row r="3597" spans="1:1">
      <c r="A3597" s="22"/>
    </row>
    <row r="3598" spans="1:1">
      <c r="A3598" s="22"/>
    </row>
    <row r="3599" spans="1:1">
      <c r="A3599" s="22"/>
    </row>
    <row r="3600" spans="1:1">
      <c r="A3600" s="22"/>
    </row>
    <row r="3601" spans="1:1">
      <c r="A3601" s="22"/>
    </row>
    <row r="3602" spans="1:1">
      <c r="A3602" s="22"/>
    </row>
    <row r="3603" spans="1:1">
      <c r="A3603" s="22"/>
    </row>
    <row r="3604" spans="1:1">
      <c r="A3604" s="22"/>
    </row>
    <row r="3605" spans="1:1">
      <c r="A3605" s="22"/>
    </row>
    <row r="3606" spans="1:1">
      <c r="A3606" s="22"/>
    </row>
    <row r="3607" spans="1:1">
      <c r="A3607" s="22"/>
    </row>
    <row r="3608" spans="1:1">
      <c r="A3608" s="22"/>
    </row>
    <row r="3609" spans="1:1">
      <c r="A3609" s="22"/>
    </row>
    <row r="3610" spans="1:1">
      <c r="A3610" s="22"/>
    </row>
    <row r="3611" spans="1:1">
      <c r="A3611" s="22"/>
    </row>
    <row r="3612" spans="1:1">
      <c r="A3612" s="22"/>
    </row>
    <row r="3613" spans="1:1">
      <c r="A3613" s="22"/>
    </row>
    <row r="3614" spans="1:1">
      <c r="A3614" s="22"/>
    </row>
    <row r="3615" spans="1:1">
      <c r="A3615" s="22"/>
    </row>
    <row r="3616" spans="1:1">
      <c r="A3616" s="22"/>
    </row>
    <row r="3617" spans="1:1">
      <c r="A3617" s="22"/>
    </row>
    <row r="3618" spans="1:1">
      <c r="A3618" s="22"/>
    </row>
    <row r="3619" spans="1:1">
      <c r="A3619" s="22"/>
    </row>
    <row r="3620" spans="1:1">
      <c r="A3620" s="22"/>
    </row>
    <row r="3621" spans="1:1">
      <c r="A3621" s="22"/>
    </row>
    <row r="3622" spans="1:1">
      <c r="A3622" s="22"/>
    </row>
    <row r="3623" spans="1:1">
      <c r="A3623" s="22"/>
    </row>
    <row r="3624" spans="1:1">
      <c r="A3624" s="22"/>
    </row>
    <row r="3625" spans="1:1">
      <c r="A3625" s="22"/>
    </row>
    <row r="3626" spans="1:1">
      <c r="A3626" s="22"/>
    </row>
    <row r="3627" spans="1:1">
      <c r="A3627" s="22"/>
    </row>
    <row r="3628" spans="1:1">
      <c r="A3628" s="22"/>
    </row>
    <row r="3629" spans="1:1">
      <c r="A3629" s="22"/>
    </row>
    <row r="3630" spans="1:1">
      <c r="A3630" s="22"/>
    </row>
    <row r="3631" spans="1:1">
      <c r="A3631" s="22"/>
    </row>
    <row r="3632" spans="1:1">
      <c r="A3632" s="22"/>
    </row>
    <row r="3633" spans="1:1">
      <c r="A3633" s="22"/>
    </row>
    <row r="3634" spans="1:1">
      <c r="A3634" s="22"/>
    </row>
    <row r="3635" spans="1:1">
      <c r="A3635" s="22"/>
    </row>
    <row r="3636" spans="1:1">
      <c r="A3636" s="22"/>
    </row>
    <row r="3637" spans="1:1">
      <c r="A3637" s="22"/>
    </row>
    <row r="3638" spans="1:1">
      <c r="A3638" s="22"/>
    </row>
    <row r="3639" spans="1:1">
      <c r="A3639" s="22"/>
    </row>
    <row r="3640" spans="1:1">
      <c r="A3640" s="22"/>
    </row>
    <row r="3641" spans="1:1">
      <c r="A3641" s="22"/>
    </row>
    <row r="3642" spans="1:1">
      <c r="A3642" s="22"/>
    </row>
    <row r="3643" spans="1:1">
      <c r="A3643" s="22"/>
    </row>
    <row r="3644" spans="1:1">
      <c r="A3644" s="22"/>
    </row>
    <row r="3645" spans="1:1">
      <c r="A3645" s="22"/>
    </row>
    <row r="3646" spans="1:1">
      <c r="A3646" s="22"/>
    </row>
    <row r="3647" spans="1:1">
      <c r="A3647" s="22"/>
    </row>
    <row r="3648" spans="1:1">
      <c r="A3648" s="22"/>
    </row>
    <row r="3649" spans="1:1">
      <c r="A3649" s="22"/>
    </row>
    <row r="3650" spans="1:1">
      <c r="A3650" s="22"/>
    </row>
    <row r="3651" spans="1:1">
      <c r="A3651" s="22"/>
    </row>
    <row r="3652" spans="1:1">
      <c r="A3652" s="22"/>
    </row>
    <row r="3653" spans="1:1">
      <c r="A3653" s="22"/>
    </row>
    <row r="3654" spans="1:1">
      <c r="A3654" s="22"/>
    </row>
    <row r="3655" spans="1:1">
      <c r="A3655" s="22"/>
    </row>
    <row r="3656" spans="1:1">
      <c r="A3656" s="22"/>
    </row>
    <row r="3657" spans="1:1">
      <c r="A3657" s="22"/>
    </row>
    <row r="3658" spans="1:1">
      <c r="A3658" s="22"/>
    </row>
    <row r="3659" spans="1:1">
      <c r="A3659" s="22"/>
    </row>
    <row r="3660" spans="1:1">
      <c r="A3660" s="22"/>
    </row>
    <row r="3661" spans="1:1">
      <c r="A3661" s="22"/>
    </row>
    <row r="3662" spans="1:1">
      <c r="A3662" s="22"/>
    </row>
    <row r="3663" spans="1:1">
      <c r="A3663" s="22"/>
    </row>
    <row r="3664" spans="1:1">
      <c r="A3664" s="22"/>
    </row>
    <row r="3665" spans="1:1">
      <c r="A3665" s="22"/>
    </row>
    <row r="3666" spans="1:1">
      <c r="A3666" s="22"/>
    </row>
    <row r="3667" spans="1:1">
      <c r="A3667" s="22"/>
    </row>
    <row r="3668" spans="1:1">
      <c r="A3668" s="22"/>
    </row>
    <row r="3669" spans="1:1">
      <c r="A3669" s="22"/>
    </row>
    <row r="3670" spans="1:1">
      <c r="A3670" s="22"/>
    </row>
    <row r="3671" spans="1:1">
      <c r="A3671" s="22"/>
    </row>
    <row r="3672" spans="1:1">
      <c r="A3672" s="22"/>
    </row>
    <row r="3673" spans="1:1">
      <c r="A3673" s="22"/>
    </row>
    <row r="3674" spans="1:1">
      <c r="A3674" s="22"/>
    </row>
    <row r="3675" spans="1:1">
      <c r="A3675" s="22"/>
    </row>
    <row r="3676" spans="1:1">
      <c r="A3676" s="22"/>
    </row>
    <row r="3677" spans="1:1">
      <c r="A3677" s="22"/>
    </row>
    <row r="3678" spans="1:1">
      <c r="A3678" s="22"/>
    </row>
    <row r="3679" spans="1:1">
      <c r="A3679" s="22"/>
    </row>
    <row r="3680" spans="1:1">
      <c r="A3680" s="22"/>
    </row>
    <row r="3681" spans="1:1">
      <c r="A3681" s="22"/>
    </row>
    <row r="3682" spans="1:1">
      <c r="A3682" s="22"/>
    </row>
    <row r="3683" spans="1:1">
      <c r="A3683" s="22"/>
    </row>
    <row r="3684" spans="1:1">
      <c r="A3684" s="22"/>
    </row>
    <row r="3685" spans="1:1">
      <c r="A3685" s="22"/>
    </row>
    <row r="3686" spans="1:1">
      <c r="A3686" s="22"/>
    </row>
    <row r="3687" spans="1:1">
      <c r="A3687" s="22"/>
    </row>
    <row r="3688" spans="1:1">
      <c r="A3688" s="22"/>
    </row>
    <row r="3689" spans="1:1">
      <c r="A3689" s="22"/>
    </row>
    <row r="3690" spans="1:1">
      <c r="A3690" s="22"/>
    </row>
    <row r="3691" spans="1:1">
      <c r="A3691" s="22"/>
    </row>
    <row r="3692" spans="1:1">
      <c r="A3692" s="22"/>
    </row>
    <row r="3693" spans="1:1">
      <c r="A3693" s="22"/>
    </row>
    <row r="3694" spans="1:1">
      <c r="A3694" s="22"/>
    </row>
    <row r="3695" spans="1:1">
      <c r="A3695" s="22"/>
    </row>
    <row r="3696" spans="1:1">
      <c r="A3696" s="22"/>
    </row>
    <row r="3697" spans="1:1">
      <c r="A3697" s="22"/>
    </row>
    <row r="3698" spans="1:1">
      <c r="A3698" s="22"/>
    </row>
    <row r="3699" spans="1:1">
      <c r="A3699" s="22"/>
    </row>
    <row r="3700" spans="1:1">
      <c r="A3700" s="22"/>
    </row>
    <row r="3701" spans="1:1">
      <c r="A3701" s="22"/>
    </row>
    <row r="3702" spans="1:1">
      <c r="A3702" s="22"/>
    </row>
    <row r="3703" spans="1:1">
      <c r="A3703" s="22"/>
    </row>
    <row r="3704" spans="1:1">
      <c r="A3704" s="22"/>
    </row>
    <row r="3705" spans="1:1">
      <c r="A3705" s="22"/>
    </row>
    <row r="3706" spans="1:1">
      <c r="A3706" s="22"/>
    </row>
    <row r="3707" spans="1:1">
      <c r="A3707" s="22"/>
    </row>
    <row r="3708" spans="1:1">
      <c r="A3708" s="22"/>
    </row>
    <row r="3709" spans="1:1">
      <c r="A3709" s="22"/>
    </row>
    <row r="3710" spans="1:1">
      <c r="A3710" s="22"/>
    </row>
    <row r="3711" spans="1:1">
      <c r="A3711" s="22"/>
    </row>
    <row r="3712" spans="1:1">
      <c r="A3712" s="22"/>
    </row>
    <row r="3713" spans="1:1">
      <c r="A3713" s="22"/>
    </row>
    <row r="3714" spans="1:1">
      <c r="A3714" s="22"/>
    </row>
    <row r="3715" spans="1:1">
      <c r="A3715" s="22"/>
    </row>
    <row r="3716" spans="1:1">
      <c r="A3716" s="22"/>
    </row>
    <row r="3717" spans="1:1">
      <c r="A3717" s="22"/>
    </row>
    <row r="3718" spans="1:1">
      <c r="A3718" s="22"/>
    </row>
    <row r="3719" spans="1:1">
      <c r="A3719" s="22"/>
    </row>
    <row r="3720" spans="1:1">
      <c r="A3720" s="22"/>
    </row>
    <row r="3721" spans="1:1">
      <c r="A3721" s="22"/>
    </row>
    <row r="3722" spans="1:1">
      <c r="A3722" s="22"/>
    </row>
    <row r="3723" spans="1:1">
      <c r="A3723" s="22"/>
    </row>
    <row r="3724" spans="1:1">
      <c r="A3724" s="22"/>
    </row>
    <row r="3725" spans="1:1">
      <c r="A3725" s="22"/>
    </row>
    <row r="3726" spans="1:1">
      <c r="A3726" s="22"/>
    </row>
    <row r="3727" spans="1:1">
      <c r="A3727" s="22"/>
    </row>
    <row r="3728" spans="1:1">
      <c r="A3728" s="22"/>
    </row>
    <row r="3729" spans="1:1">
      <c r="A3729" s="22"/>
    </row>
    <row r="3730" spans="1:1">
      <c r="A3730" s="22"/>
    </row>
    <row r="3731" spans="1:1">
      <c r="A3731" s="22"/>
    </row>
    <row r="3732" spans="1:1">
      <c r="A3732" s="22"/>
    </row>
    <row r="3733" spans="1:1">
      <c r="A3733" s="22"/>
    </row>
    <row r="3734" spans="1:1">
      <c r="A3734" s="22"/>
    </row>
    <row r="3735" spans="1:1">
      <c r="A3735" s="22"/>
    </row>
    <row r="3736" spans="1:1">
      <c r="A3736" s="22"/>
    </row>
    <row r="3737" spans="1:1">
      <c r="A3737" s="22"/>
    </row>
    <row r="3738" spans="1:1">
      <c r="A3738" s="22"/>
    </row>
    <row r="3739" spans="1:1">
      <c r="A3739" s="22"/>
    </row>
    <row r="3740" spans="1:1">
      <c r="A3740" s="22"/>
    </row>
    <row r="3741" spans="1:1">
      <c r="A3741" s="22"/>
    </row>
    <row r="3742" spans="1:1">
      <c r="A3742" s="22"/>
    </row>
    <row r="3743" spans="1:1">
      <c r="A3743" s="22"/>
    </row>
    <row r="3744" spans="1:1">
      <c r="A3744" s="22"/>
    </row>
    <row r="3745" spans="1:1">
      <c r="A3745" s="22"/>
    </row>
    <row r="3746" spans="1:1">
      <c r="A3746" s="22"/>
    </row>
    <row r="3747" spans="1:1">
      <c r="A3747" s="22"/>
    </row>
    <row r="3748" spans="1:1">
      <c r="A3748" s="22"/>
    </row>
    <row r="3749" spans="1:1">
      <c r="A3749" s="22"/>
    </row>
    <row r="3750" spans="1:1">
      <c r="A3750" s="22"/>
    </row>
    <row r="3751" spans="1:1">
      <c r="A3751" s="22"/>
    </row>
    <row r="3752" spans="1:1">
      <c r="A3752" s="22"/>
    </row>
    <row r="3753" spans="1:1">
      <c r="A3753" s="22"/>
    </row>
    <row r="3754" spans="1:1">
      <c r="A3754" s="22"/>
    </row>
    <row r="3755" spans="1:1">
      <c r="A3755" s="22"/>
    </row>
    <row r="3756" spans="1:1">
      <c r="A3756" s="22"/>
    </row>
    <row r="3757" spans="1:1">
      <c r="A3757" s="22"/>
    </row>
    <row r="3758" spans="1:1">
      <c r="A3758" s="22"/>
    </row>
    <row r="3759" spans="1:1">
      <c r="A3759" s="22"/>
    </row>
    <row r="3760" spans="1:1">
      <c r="A3760" s="22"/>
    </row>
    <row r="3761" spans="1:1">
      <c r="A3761" s="22"/>
    </row>
    <row r="3762" spans="1:1">
      <c r="A3762" s="22"/>
    </row>
    <row r="3763" spans="1:1">
      <c r="A3763" s="22"/>
    </row>
    <row r="3764" spans="1:1">
      <c r="A3764" s="22"/>
    </row>
    <row r="3765" spans="1:1">
      <c r="A3765" s="22"/>
    </row>
    <row r="3766" spans="1:1">
      <c r="A3766" s="22"/>
    </row>
    <row r="3767" spans="1:1">
      <c r="A3767" s="22"/>
    </row>
    <row r="3768" spans="1:1">
      <c r="A3768" s="22"/>
    </row>
    <row r="3769" spans="1:1">
      <c r="A3769" s="22"/>
    </row>
    <row r="3770" spans="1:1">
      <c r="A3770" s="22"/>
    </row>
    <row r="3771" spans="1:1">
      <c r="A3771" s="22"/>
    </row>
    <row r="3772" spans="1:1">
      <c r="A3772" s="22"/>
    </row>
    <row r="3773" spans="1:1">
      <c r="A3773" s="22"/>
    </row>
    <row r="3774" spans="1:1">
      <c r="A3774" s="22"/>
    </row>
    <row r="3775" spans="1:1">
      <c r="A3775" s="22"/>
    </row>
    <row r="3776" spans="1:1">
      <c r="A3776" s="22"/>
    </row>
    <row r="3777" spans="1:1">
      <c r="A3777" s="22"/>
    </row>
    <row r="3778" spans="1:1">
      <c r="A3778" s="22"/>
    </row>
    <row r="3779" spans="1:1">
      <c r="A3779" s="22"/>
    </row>
    <row r="3780" spans="1:1">
      <c r="A3780" s="22"/>
    </row>
    <row r="3781" spans="1:1">
      <c r="A3781" s="22"/>
    </row>
    <row r="3782" spans="1:1">
      <c r="A3782" s="22"/>
    </row>
    <row r="3783" spans="1:1">
      <c r="A3783" s="22"/>
    </row>
    <row r="3784" spans="1:1">
      <c r="A3784" s="22"/>
    </row>
    <row r="3785" spans="1:1">
      <c r="A3785" s="22"/>
    </row>
    <row r="3786" spans="1:1">
      <c r="A3786" s="22"/>
    </row>
    <row r="3787" spans="1:1">
      <c r="A3787" s="22"/>
    </row>
    <row r="3788" spans="1:1">
      <c r="A3788" s="22"/>
    </row>
    <row r="3789" spans="1:1">
      <c r="A3789" s="22"/>
    </row>
    <row r="3790" spans="1:1">
      <c r="A3790" s="22"/>
    </row>
    <row r="3791" spans="1:1">
      <c r="A3791" s="22"/>
    </row>
    <row r="3792" spans="1:1">
      <c r="A3792" s="22"/>
    </row>
    <row r="3793" spans="1:1">
      <c r="A3793" s="22"/>
    </row>
    <row r="3794" spans="1:1">
      <c r="A3794" s="22"/>
    </row>
    <row r="3795" spans="1:1">
      <c r="A3795" s="22"/>
    </row>
    <row r="3796" spans="1:1">
      <c r="A3796" s="22"/>
    </row>
    <row r="3797" spans="1:1">
      <c r="A3797" s="22"/>
    </row>
    <row r="3798" spans="1:1">
      <c r="A3798" s="22"/>
    </row>
    <row r="3799" spans="1:1">
      <c r="A3799" s="22"/>
    </row>
    <row r="3800" spans="1:1">
      <c r="A3800" s="22"/>
    </row>
    <row r="3801" spans="1:1">
      <c r="A3801" s="22"/>
    </row>
    <row r="3802" spans="1:1">
      <c r="A3802" s="22"/>
    </row>
    <row r="3803" spans="1:1">
      <c r="A3803" s="22"/>
    </row>
    <row r="3804" spans="1:1">
      <c r="A3804" s="22"/>
    </row>
    <row r="3805" spans="1:1">
      <c r="A3805" s="22"/>
    </row>
    <row r="3806" spans="1:1">
      <c r="A3806" s="22"/>
    </row>
    <row r="3807" spans="1:1">
      <c r="A3807" s="22"/>
    </row>
    <row r="3808" spans="1:1">
      <c r="A3808" s="22"/>
    </row>
    <row r="3809" spans="1:1">
      <c r="A3809" s="22"/>
    </row>
    <row r="3810" spans="1:1">
      <c r="A3810" s="22"/>
    </row>
    <row r="3811" spans="1:1">
      <c r="A3811" s="22"/>
    </row>
    <row r="3812" spans="1:1">
      <c r="A3812" s="22"/>
    </row>
    <row r="3813" spans="1:1">
      <c r="A3813" s="22"/>
    </row>
    <row r="3814" spans="1:1">
      <c r="A3814" s="22"/>
    </row>
    <row r="3815" spans="1:1">
      <c r="A3815" s="22"/>
    </row>
    <row r="3816" spans="1:1">
      <c r="A3816" s="22"/>
    </row>
    <row r="3817" spans="1:1">
      <c r="A3817" s="22"/>
    </row>
    <row r="3818" spans="1:1">
      <c r="A3818" s="22"/>
    </row>
    <row r="3819" spans="1:1">
      <c r="A3819" s="22"/>
    </row>
    <row r="3820" spans="1:1">
      <c r="A3820" s="22"/>
    </row>
    <row r="3821" spans="1:1">
      <c r="A3821" s="22"/>
    </row>
    <row r="3822" spans="1:1">
      <c r="A3822" s="22"/>
    </row>
    <row r="3823" spans="1:1">
      <c r="A3823" s="22"/>
    </row>
    <row r="3824" spans="1:1">
      <c r="A3824" s="22"/>
    </row>
    <row r="3825" spans="1:1">
      <c r="A3825" s="22"/>
    </row>
    <row r="3826" spans="1:1">
      <c r="A3826" s="22"/>
    </row>
    <row r="3827" spans="1:1">
      <c r="A3827" s="22"/>
    </row>
    <row r="3828" spans="1:1">
      <c r="A3828" s="22"/>
    </row>
    <row r="3829" spans="1:1">
      <c r="A3829" s="22"/>
    </row>
    <row r="3830" spans="1:1">
      <c r="A3830" s="22"/>
    </row>
    <row r="3831" spans="1:1">
      <c r="A3831" s="22"/>
    </row>
    <row r="3832" spans="1:1">
      <c r="A3832" s="22"/>
    </row>
    <row r="3833" spans="1:1">
      <c r="A3833" s="22"/>
    </row>
    <row r="3834" spans="1:1">
      <c r="A3834" s="22"/>
    </row>
    <row r="3835" spans="1:1">
      <c r="A3835" s="22"/>
    </row>
    <row r="3836" spans="1:1">
      <c r="A3836" s="22"/>
    </row>
    <row r="3837" spans="1:1">
      <c r="A3837" s="22"/>
    </row>
    <row r="3838" spans="1:1">
      <c r="A3838" s="22"/>
    </row>
    <row r="3839" spans="1:1">
      <c r="A3839" s="22"/>
    </row>
    <row r="3840" spans="1:1">
      <c r="A3840" s="22"/>
    </row>
    <row r="3841" spans="1:1">
      <c r="A3841" s="22"/>
    </row>
    <row r="3842" spans="1:1">
      <c r="A3842" s="22"/>
    </row>
    <row r="3843" spans="1:1">
      <c r="A3843" s="22"/>
    </row>
    <row r="3844" spans="1:1">
      <c r="A3844" s="22"/>
    </row>
    <row r="3845" spans="1:1">
      <c r="A3845" s="22"/>
    </row>
    <row r="3846" spans="1:1">
      <c r="A3846" s="22"/>
    </row>
    <row r="3847" spans="1:1">
      <c r="A3847" s="22"/>
    </row>
    <row r="3848" spans="1:1">
      <c r="A3848" s="22"/>
    </row>
    <row r="3849" spans="1:1">
      <c r="A3849" s="22"/>
    </row>
    <row r="3850" spans="1:1">
      <c r="A3850" s="22"/>
    </row>
    <row r="3851" spans="1:1">
      <c r="A3851" s="22"/>
    </row>
    <row r="3852" spans="1:1">
      <c r="A3852" s="22"/>
    </row>
    <row r="3853" spans="1:1">
      <c r="A3853" s="22"/>
    </row>
    <row r="3854" spans="1:1">
      <c r="A3854" s="22"/>
    </row>
    <row r="3855" spans="1:1">
      <c r="A3855" s="22"/>
    </row>
    <row r="3856" spans="1:1">
      <c r="A3856" s="22"/>
    </row>
    <row r="3857" spans="1:1">
      <c r="A3857" s="22"/>
    </row>
    <row r="3858" spans="1:1">
      <c r="A3858" s="22"/>
    </row>
    <row r="3859" spans="1:1">
      <c r="A3859" s="22"/>
    </row>
    <row r="3860" spans="1:1">
      <c r="A3860" s="22"/>
    </row>
    <row r="3861" spans="1:1">
      <c r="A3861" s="22"/>
    </row>
    <row r="3862" spans="1:1">
      <c r="A3862" s="22"/>
    </row>
    <row r="3863" spans="1:1">
      <c r="A3863" s="22"/>
    </row>
    <row r="3864" spans="1:1">
      <c r="A3864" s="22"/>
    </row>
    <row r="3865" spans="1:1">
      <c r="A3865" s="22"/>
    </row>
    <row r="3866" spans="1:1">
      <c r="A3866" s="22"/>
    </row>
    <row r="3867" spans="1:1">
      <c r="A3867" s="22"/>
    </row>
    <row r="3868" spans="1:1">
      <c r="A3868" s="22"/>
    </row>
    <row r="3869" spans="1:1">
      <c r="A3869" s="22"/>
    </row>
    <row r="3870" spans="1:1">
      <c r="A3870" s="22"/>
    </row>
    <row r="3871" spans="1:1">
      <c r="A3871" s="22"/>
    </row>
    <row r="3872" spans="1:1">
      <c r="A3872" s="22"/>
    </row>
    <row r="3873" spans="1:1">
      <c r="A3873" s="22"/>
    </row>
    <row r="3874" spans="1:1">
      <c r="A3874" s="22"/>
    </row>
    <row r="3875" spans="1:1">
      <c r="A3875" s="22"/>
    </row>
    <row r="3876" spans="1:1">
      <c r="A3876" s="22"/>
    </row>
    <row r="3877" spans="1:1">
      <c r="A3877" s="22"/>
    </row>
    <row r="3878" spans="1:1">
      <c r="A3878" s="22"/>
    </row>
    <row r="3879" spans="1:1">
      <c r="A3879" s="22"/>
    </row>
    <row r="3880" spans="1:1">
      <c r="A3880" s="22"/>
    </row>
    <row r="3881" spans="1:1">
      <c r="A3881" s="22"/>
    </row>
    <row r="3882" spans="1:1">
      <c r="A3882" s="22"/>
    </row>
    <row r="3883" spans="1:1">
      <c r="A3883" s="22"/>
    </row>
    <row r="3884" spans="1:1">
      <c r="A3884" s="22"/>
    </row>
    <row r="3885" spans="1:1">
      <c r="A3885" s="22"/>
    </row>
    <row r="3886" spans="1:1">
      <c r="A3886" s="22"/>
    </row>
    <row r="3887" spans="1:1">
      <c r="A3887" s="22"/>
    </row>
    <row r="3888" spans="1:1">
      <c r="A3888" s="22"/>
    </row>
    <row r="3889" spans="1:1">
      <c r="A3889" s="22"/>
    </row>
    <row r="3890" spans="1:1">
      <c r="A3890" s="22"/>
    </row>
    <row r="3891" spans="1:1">
      <c r="A3891" s="22"/>
    </row>
    <row r="3892" spans="1:1">
      <c r="A3892" s="22"/>
    </row>
    <row r="3893" spans="1:1">
      <c r="A3893" s="22"/>
    </row>
    <row r="3894" spans="1:1">
      <c r="A3894" s="22"/>
    </row>
    <row r="3895" spans="1:1">
      <c r="A3895" s="22"/>
    </row>
    <row r="3896" spans="1:1">
      <c r="A3896" s="22"/>
    </row>
    <row r="3897" spans="1:1">
      <c r="A3897" s="22"/>
    </row>
    <row r="3898" spans="1:1">
      <c r="A3898" s="22"/>
    </row>
    <row r="3899" spans="1:1">
      <c r="A3899" s="22"/>
    </row>
    <row r="3900" spans="1:1">
      <c r="A3900" s="22"/>
    </row>
    <row r="3901" spans="1:1">
      <c r="A3901" s="22"/>
    </row>
    <row r="3902" spans="1:1">
      <c r="A3902" s="22"/>
    </row>
    <row r="3903" spans="1:1">
      <c r="A3903" s="22"/>
    </row>
    <row r="3904" spans="1:1">
      <c r="A3904" s="22"/>
    </row>
    <row r="3905" spans="1:1">
      <c r="A3905" s="22"/>
    </row>
    <row r="3906" spans="1:1">
      <c r="A3906" s="22"/>
    </row>
    <row r="3907" spans="1:1">
      <c r="A3907" s="22"/>
    </row>
    <row r="3908" spans="1:1">
      <c r="A3908" s="22"/>
    </row>
    <row r="3909" spans="1:1">
      <c r="A3909" s="22"/>
    </row>
    <row r="3910" spans="1:1">
      <c r="A3910" s="22"/>
    </row>
    <row r="3911" spans="1:1">
      <c r="A3911" s="22"/>
    </row>
    <row r="3912" spans="1:1">
      <c r="A3912" s="22"/>
    </row>
    <row r="3913" spans="1:1">
      <c r="A3913" s="22"/>
    </row>
    <row r="3914" spans="1:1">
      <c r="A3914" s="22"/>
    </row>
    <row r="3915" spans="1:1">
      <c r="A3915" s="22"/>
    </row>
    <row r="3916" spans="1:1">
      <c r="A3916" s="22"/>
    </row>
    <row r="3917" spans="1:1">
      <c r="A3917" s="22"/>
    </row>
    <row r="3918" spans="1:1">
      <c r="A3918" s="22"/>
    </row>
    <row r="3919" spans="1:1">
      <c r="A3919" s="22"/>
    </row>
    <row r="3920" spans="1:1">
      <c r="A3920" s="22"/>
    </row>
    <row r="3921" spans="1:1">
      <c r="A3921" s="22"/>
    </row>
    <row r="3922" spans="1:1">
      <c r="A3922" s="22"/>
    </row>
    <row r="3923" spans="1:1">
      <c r="A3923" s="22"/>
    </row>
    <row r="3924" spans="1:1">
      <c r="A3924" s="22"/>
    </row>
    <row r="3925" spans="1:1">
      <c r="A3925" s="22"/>
    </row>
    <row r="3926" spans="1:1">
      <c r="A3926" s="22"/>
    </row>
    <row r="3927" spans="1:1">
      <c r="A3927" s="22"/>
    </row>
    <row r="3928" spans="1:1">
      <c r="A3928" s="22"/>
    </row>
    <row r="3929" spans="1:1">
      <c r="A3929" s="22"/>
    </row>
    <row r="3930" spans="1:1">
      <c r="A3930" s="22"/>
    </row>
    <row r="3931" spans="1:1">
      <c r="A3931" s="22"/>
    </row>
    <row r="3932" spans="1:1">
      <c r="A3932" s="22"/>
    </row>
    <row r="3933" spans="1:1">
      <c r="A3933" s="22"/>
    </row>
    <row r="3934" spans="1:1">
      <c r="A3934" s="22"/>
    </row>
    <row r="3935" spans="1:1">
      <c r="A3935" s="22"/>
    </row>
    <row r="3936" spans="1:1">
      <c r="A3936" s="22"/>
    </row>
    <row r="3937" spans="1:1">
      <c r="A3937" s="22"/>
    </row>
    <row r="3938" spans="1:1">
      <c r="A3938" s="22"/>
    </row>
    <row r="3939" spans="1:1">
      <c r="A3939" s="22"/>
    </row>
    <row r="3940" spans="1:1">
      <c r="A3940" s="22"/>
    </row>
    <row r="3941" spans="1:1">
      <c r="A3941" s="22"/>
    </row>
    <row r="3942" spans="1:1">
      <c r="A3942" s="22"/>
    </row>
    <row r="3943" spans="1:1">
      <c r="A3943" s="22"/>
    </row>
    <row r="3944" spans="1:1">
      <c r="A3944" s="22"/>
    </row>
    <row r="3945" spans="1:1">
      <c r="A3945" s="22"/>
    </row>
    <row r="3946" spans="1:1">
      <c r="A3946" s="22"/>
    </row>
    <row r="3947" spans="1:1">
      <c r="A3947" s="22"/>
    </row>
    <row r="3948" spans="1:1">
      <c r="A3948" s="22"/>
    </row>
    <row r="3949" spans="1:1">
      <c r="A3949" s="22"/>
    </row>
    <row r="3950" spans="1:1">
      <c r="A3950" s="22"/>
    </row>
    <row r="3951" spans="1:1">
      <c r="A3951" s="22"/>
    </row>
    <row r="3952" spans="1:1">
      <c r="A3952" s="22"/>
    </row>
    <row r="3953" spans="1:1">
      <c r="A3953" s="22"/>
    </row>
    <row r="3954" spans="1:1">
      <c r="A3954" s="22"/>
    </row>
    <row r="3955" spans="1:1">
      <c r="A3955" s="22"/>
    </row>
    <row r="3956" spans="1:1">
      <c r="A3956" s="22"/>
    </row>
    <row r="3957" spans="1:1">
      <c r="A3957" s="22"/>
    </row>
    <row r="3958" spans="1:1">
      <c r="A3958" s="22"/>
    </row>
    <row r="3959" spans="1:1">
      <c r="A3959" s="22"/>
    </row>
    <row r="3960" spans="1:1">
      <c r="A3960" s="22"/>
    </row>
    <row r="3961" spans="1:1">
      <c r="A3961" s="22"/>
    </row>
    <row r="3962" spans="1:1">
      <c r="A3962" s="22"/>
    </row>
    <row r="3963" spans="1:1">
      <c r="A3963" s="22"/>
    </row>
    <row r="3964" spans="1:1">
      <c r="A3964" s="22"/>
    </row>
    <row r="3965" spans="1:1">
      <c r="A3965" s="22"/>
    </row>
    <row r="3966" spans="1:1">
      <c r="A3966" s="22"/>
    </row>
    <row r="3967" spans="1:1">
      <c r="A3967" s="22"/>
    </row>
    <row r="3968" spans="1:1">
      <c r="A3968" s="22"/>
    </row>
    <row r="3969" spans="1:1">
      <c r="A3969" s="22"/>
    </row>
    <row r="3970" spans="1:1">
      <c r="A3970" s="22"/>
    </row>
    <row r="3971" spans="1:1">
      <c r="A3971" s="22"/>
    </row>
    <row r="3972" spans="1:1">
      <c r="A3972" s="22"/>
    </row>
    <row r="3973" spans="1:1">
      <c r="A3973" s="22"/>
    </row>
    <row r="3974" spans="1:1">
      <c r="A3974" s="22"/>
    </row>
    <row r="3975" spans="1:1">
      <c r="A3975" s="22"/>
    </row>
    <row r="3976" spans="1:1">
      <c r="A3976" s="22"/>
    </row>
    <row r="3977" spans="1:1">
      <c r="A3977" s="22"/>
    </row>
    <row r="3978" spans="1:1">
      <c r="A3978" s="22"/>
    </row>
    <row r="3979" spans="1:1">
      <c r="A3979" s="22"/>
    </row>
    <row r="3980" spans="1:1">
      <c r="A3980" s="22"/>
    </row>
    <row r="3981" spans="1:1">
      <c r="A3981" s="22"/>
    </row>
    <row r="3982" spans="1:1">
      <c r="A3982" s="22"/>
    </row>
    <row r="3983" spans="1:1">
      <c r="A3983" s="22"/>
    </row>
    <row r="3984" spans="1:1">
      <c r="A3984" s="22"/>
    </row>
    <row r="3985" spans="1:1">
      <c r="A3985" s="22"/>
    </row>
    <row r="3986" spans="1:1">
      <c r="A3986" s="22"/>
    </row>
    <row r="3987" spans="1:1">
      <c r="A3987" s="22"/>
    </row>
    <row r="3988" spans="1:1">
      <c r="A3988" s="22"/>
    </row>
    <row r="3989" spans="1:1">
      <c r="A3989" s="22"/>
    </row>
    <row r="3990" spans="1:1">
      <c r="A3990" s="22"/>
    </row>
    <row r="3991" spans="1:1">
      <c r="A3991" s="22"/>
    </row>
    <row r="3992" spans="1:1">
      <c r="A3992" s="22"/>
    </row>
    <row r="3993" spans="1:1">
      <c r="A3993" s="22"/>
    </row>
    <row r="3994" spans="1:1">
      <c r="A3994" s="22"/>
    </row>
    <row r="3995" spans="1:1">
      <c r="A3995" s="22"/>
    </row>
    <row r="3996" spans="1:1">
      <c r="A3996" s="22"/>
    </row>
    <row r="3997" spans="1:1">
      <c r="A3997" s="22"/>
    </row>
    <row r="3998" spans="1:1">
      <c r="A3998" s="22"/>
    </row>
    <row r="3999" spans="1:1">
      <c r="A3999" s="22"/>
    </row>
    <row r="4000" spans="1:1">
      <c r="A4000" s="22"/>
    </row>
    <row r="4001" spans="1:1">
      <c r="A4001" s="22"/>
    </row>
    <row r="4002" spans="1:1">
      <c r="A4002" s="22"/>
    </row>
    <row r="4003" spans="1:1">
      <c r="A4003" s="22"/>
    </row>
    <row r="4004" spans="1:1">
      <c r="A4004" s="22"/>
    </row>
    <row r="4005" spans="1:1">
      <c r="A4005" s="22"/>
    </row>
    <row r="4006" spans="1:1">
      <c r="A4006" s="22"/>
    </row>
    <row r="4007" spans="1:1">
      <c r="A4007" s="22"/>
    </row>
    <row r="4008" spans="1:1">
      <c r="A4008" s="22"/>
    </row>
    <row r="4009" spans="1:1">
      <c r="A4009" s="22"/>
    </row>
    <row r="4010" spans="1:1">
      <c r="A4010" s="22"/>
    </row>
    <row r="4011" spans="1:1">
      <c r="A4011" s="22"/>
    </row>
    <row r="4012" spans="1:1">
      <c r="A4012" s="22"/>
    </row>
    <row r="4013" spans="1:1">
      <c r="A4013" s="22"/>
    </row>
    <row r="4014" spans="1:1">
      <c r="A4014" s="22"/>
    </row>
    <row r="4015" spans="1:1">
      <c r="A4015" s="22"/>
    </row>
    <row r="4016" spans="1:1">
      <c r="A4016" s="22"/>
    </row>
    <row r="4017" spans="1:1">
      <c r="A4017" s="22"/>
    </row>
    <row r="4018" spans="1:1">
      <c r="A4018" s="22"/>
    </row>
    <row r="4019" spans="1:1">
      <c r="A4019" s="22"/>
    </row>
    <row r="4020" spans="1:1">
      <c r="A4020" s="22"/>
    </row>
    <row r="4021" spans="1:1">
      <c r="A4021" s="22"/>
    </row>
    <row r="4022" spans="1:1">
      <c r="A4022" s="22"/>
    </row>
    <row r="4023" spans="1:1">
      <c r="A4023" s="22"/>
    </row>
    <row r="4024" spans="1:1">
      <c r="A4024" s="22"/>
    </row>
    <row r="4025" spans="1:1">
      <c r="A4025" s="22"/>
    </row>
    <row r="4026" spans="1:1">
      <c r="A4026" s="22"/>
    </row>
    <row r="4027" spans="1:1">
      <c r="A4027" s="22"/>
    </row>
    <row r="4028" spans="1:1">
      <c r="A4028" s="22"/>
    </row>
    <row r="4029" spans="1:1">
      <c r="A4029" s="22"/>
    </row>
    <row r="4030" spans="1:1">
      <c r="A4030" s="22"/>
    </row>
    <row r="4031" spans="1:1">
      <c r="A4031" s="22"/>
    </row>
    <row r="4032" spans="1:1">
      <c r="A4032" s="22"/>
    </row>
    <row r="4033" spans="1:1">
      <c r="A4033" s="22"/>
    </row>
    <row r="4034" spans="1:1">
      <c r="A4034" s="22"/>
    </row>
    <row r="4035" spans="1:1">
      <c r="A4035" s="22"/>
    </row>
    <row r="4036" spans="1:1">
      <c r="A4036" s="22"/>
    </row>
    <row r="4037" spans="1:1">
      <c r="A4037" s="22"/>
    </row>
    <row r="4038" spans="1:1">
      <c r="A4038" s="22"/>
    </row>
    <row r="4039" spans="1:1">
      <c r="A4039" s="22"/>
    </row>
    <row r="4040" spans="1:1">
      <c r="A4040" s="22"/>
    </row>
    <row r="4041" spans="1:1">
      <c r="A4041" s="22"/>
    </row>
    <row r="4042" spans="1:1">
      <c r="A4042" s="22"/>
    </row>
    <row r="4043" spans="1:1">
      <c r="A4043" s="22"/>
    </row>
    <row r="4044" spans="1:1">
      <c r="A4044" s="22"/>
    </row>
    <row r="4045" spans="1:1">
      <c r="A4045" s="22"/>
    </row>
    <row r="4046" spans="1:1">
      <c r="A4046" s="22"/>
    </row>
    <row r="4047" spans="1:1">
      <c r="A4047" s="22"/>
    </row>
    <row r="4048" spans="1:1">
      <c r="A4048" s="22"/>
    </row>
    <row r="4049" spans="1:1">
      <c r="A4049" s="22"/>
    </row>
    <row r="4050" spans="1:1">
      <c r="A4050" s="22"/>
    </row>
    <row r="4051" spans="1:1">
      <c r="A4051" s="22"/>
    </row>
    <row r="4052" spans="1:1">
      <c r="A4052" s="22"/>
    </row>
    <row r="4053" spans="1:1">
      <c r="A4053" s="22"/>
    </row>
    <row r="4054" spans="1:1">
      <c r="A4054" s="22"/>
    </row>
    <row r="4055" spans="1:1">
      <c r="A4055" s="22"/>
    </row>
    <row r="4056" spans="1:1">
      <c r="A4056" s="22"/>
    </row>
    <row r="4057" spans="1:1">
      <c r="A4057" s="22"/>
    </row>
    <row r="4058" spans="1:1">
      <c r="A4058" s="22"/>
    </row>
    <row r="4059" spans="1:1">
      <c r="A4059" s="22"/>
    </row>
    <row r="4060" spans="1:1">
      <c r="A4060" s="22"/>
    </row>
    <row r="4061" spans="1:1">
      <c r="A4061" s="22"/>
    </row>
    <row r="4062" spans="1:1">
      <c r="A4062" s="22"/>
    </row>
    <row r="4063" spans="1:1">
      <c r="A4063" s="22"/>
    </row>
    <row r="4064" spans="1:1">
      <c r="A4064" s="22"/>
    </row>
    <row r="4065" spans="1:1">
      <c r="A4065" s="22"/>
    </row>
    <row r="4066" spans="1:1">
      <c r="A4066" s="22"/>
    </row>
    <row r="4067" spans="1:1">
      <c r="A4067" s="22"/>
    </row>
    <row r="4068" spans="1:1">
      <c r="A4068" s="22"/>
    </row>
    <row r="4069" spans="1:1">
      <c r="A4069" s="22"/>
    </row>
    <row r="4070" spans="1:1">
      <c r="A4070" s="22"/>
    </row>
    <row r="4071" spans="1:1">
      <c r="A4071" s="22"/>
    </row>
    <row r="4072" spans="1:1">
      <c r="A4072" s="22"/>
    </row>
    <row r="4073" spans="1:1">
      <c r="A4073" s="22"/>
    </row>
    <row r="4074" spans="1:1">
      <c r="A4074" s="22"/>
    </row>
    <row r="4075" spans="1:1">
      <c r="A4075" s="22"/>
    </row>
    <row r="4076" spans="1:1">
      <c r="A4076" s="22"/>
    </row>
    <row r="4077" spans="1:1">
      <c r="A4077" s="22"/>
    </row>
    <row r="4078" spans="1:1">
      <c r="A4078" s="22"/>
    </row>
    <row r="4079" spans="1:1">
      <c r="A4079" s="22"/>
    </row>
    <row r="4080" spans="1:1">
      <c r="A4080" s="22"/>
    </row>
    <row r="4081" spans="1:1">
      <c r="A4081" s="22"/>
    </row>
    <row r="4082" spans="1:1">
      <c r="A4082" s="22"/>
    </row>
    <row r="4083" spans="1:1">
      <c r="A4083" s="22"/>
    </row>
    <row r="4084" spans="1:1">
      <c r="A4084" s="22"/>
    </row>
    <row r="4085" spans="1:1">
      <c r="A4085" s="22"/>
    </row>
    <row r="4086" spans="1:1">
      <c r="A4086" s="22"/>
    </row>
    <row r="4087" spans="1:1">
      <c r="A4087" s="22"/>
    </row>
    <row r="4088" spans="1:1">
      <c r="A4088" s="22"/>
    </row>
    <row r="4089" spans="1:1">
      <c r="A4089" s="22"/>
    </row>
    <row r="4090" spans="1:1">
      <c r="A4090" s="22"/>
    </row>
    <row r="4091" spans="1:1">
      <c r="A4091" s="22"/>
    </row>
    <row r="4092" spans="1:1">
      <c r="A4092" s="22"/>
    </row>
    <row r="4093" spans="1:1">
      <c r="A4093" s="22"/>
    </row>
    <row r="4094" spans="1:1">
      <c r="A4094" s="22"/>
    </row>
    <row r="4095" spans="1:1">
      <c r="A4095" s="22"/>
    </row>
    <row r="4096" spans="1:1">
      <c r="A4096" s="22"/>
    </row>
    <row r="4097" spans="1:1">
      <c r="A4097" s="22"/>
    </row>
    <row r="4098" spans="1:1">
      <c r="A4098" s="22"/>
    </row>
    <row r="4099" spans="1:1">
      <c r="A4099" s="22"/>
    </row>
    <row r="4100" spans="1:1">
      <c r="A4100" s="22"/>
    </row>
    <row r="4101" spans="1:1">
      <c r="A4101" s="22"/>
    </row>
    <row r="4102" spans="1:1">
      <c r="A4102" s="22"/>
    </row>
    <row r="4103" spans="1:1">
      <c r="A4103" s="22"/>
    </row>
    <row r="4104" spans="1:1">
      <c r="A4104" s="22"/>
    </row>
    <row r="4105" spans="1:1">
      <c r="A4105" s="22"/>
    </row>
    <row r="4106" spans="1:1">
      <c r="A4106" s="22"/>
    </row>
    <row r="4107" spans="1:1">
      <c r="A4107" s="22"/>
    </row>
    <row r="4108" spans="1:1">
      <c r="A4108" s="22"/>
    </row>
    <row r="4109" spans="1:1">
      <c r="A4109" s="22"/>
    </row>
    <row r="4110" spans="1:1">
      <c r="A4110" s="22"/>
    </row>
    <row r="4111" spans="1:1">
      <c r="A4111" s="22"/>
    </row>
    <row r="4112" spans="1:1">
      <c r="A4112" s="22"/>
    </row>
    <row r="4113" spans="1:1">
      <c r="A4113" s="22"/>
    </row>
    <row r="4114" spans="1:1">
      <c r="A4114" s="22"/>
    </row>
    <row r="4115" spans="1:1">
      <c r="A4115" s="22"/>
    </row>
    <row r="4116" spans="1:1">
      <c r="A4116" s="22"/>
    </row>
    <row r="4117" spans="1:1">
      <c r="A4117" s="22"/>
    </row>
    <row r="4118" spans="1:1">
      <c r="A4118" s="22"/>
    </row>
    <row r="4119" spans="1:1">
      <c r="A4119" s="22"/>
    </row>
    <row r="4120" spans="1:1">
      <c r="A4120" s="22"/>
    </row>
    <row r="4121" spans="1:1">
      <c r="A4121" s="22"/>
    </row>
    <row r="4122" spans="1:1">
      <c r="A4122" s="22"/>
    </row>
    <row r="4123" spans="1:1">
      <c r="A4123" s="22"/>
    </row>
    <row r="4124" spans="1:1">
      <c r="A4124" s="22"/>
    </row>
    <row r="4125" spans="1:1">
      <c r="A4125" s="22"/>
    </row>
    <row r="4126" spans="1:1">
      <c r="A4126" s="22"/>
    </row>
    <row r="4127" spans="1:1">
      <c r="A4127" s="22"/>
    </row>
    <row r="4128" spans="1:1">
      <c r="A4128" s="22"/>
    </row>
    <row r="4129" spans="1:1">
      <c r="A4129" s="22"/>
    </row>
    <row r="4130" spans="1:1">
      <c r="A4130" s="22"/>
    </row>
    <row r="4131" spans="1:1">
      <c r="A4131" s="22"/>
    </row>
    <row r="4132" spans="1:1">
      <c r="A4132" s="22"/>
    </row>
    <row r="4133" spans="1:1">
      <c r="A4133" s="22"/>
    </row>
    <row r="4134" spans="1:1">
      <c r="A4134" s="22"/>
    </row>
    <row r="4135" spans="1:1">
      <c r="A4135" s="22"/>
    </row>
    <row r="4136" spans="1:1">
      <c r="A4136" s="22"/>
    </row>
    <row r="4137" spans="1:1">
      <c r="A4137" s="22"/>
    </row>
    <row r="4138" spans="1:1">
      <c r="A4138" s="22"/>
    </row>
    <row r="4139" spans="1:1">
      <c r="A4139" s="22"/>
    </row>
    <row r="4140" spans="1:1">
      <c r="A4140" s="22"/>
    </row>
    <row r="4141" spans="1:1">
      <c r="A4141" s="22"/>
    </row>
    <row r="4142" spans="1:1">
      <c r="A4142" s="22"/>
    </row>
    <row r="4143" spans="1:1">
      <c r="A4143" s="22"/>
    </row>
    <row r="4144" spans="1:1">
      <c r="A4144" s="22"/>
    </row>
    <row r="4145" spans="1:1">
      <c r="A4145" s="22"/>
    </row>
    <row r="4146" spans="1:1">
      <c r="A4146" s="22"/>
    </row>
    <row r="4147" spans="1:1">
      <c r="A4147" s="22"/>
    </row>
    <row r="4148" spans="1:1">
      <c r="A4148" s="22"/>
    </row>
    <row r="4149" spans="1:1">
      <c r="A4149" s="22"/>
    </row>
    <row r="4150" spans="1:1">
      <c r="A4150" s="22"/>
    </row>
    <row r="4151" spans="1:1">
      <c r="A4151" s="22"/>
    </row>
    <row r="4152" spans="1:1">
      <c r="A4152" s="22"/>
    </row>
    <row r="4153" spans="1:1">
      <c r="A4153" s="22"/>
    </row>
    <row r="4154" spans="1:1">
      <c r="A4154" s="22"/>
    </row>
    <row r="4155" spans="1:1">
      <c r="A4155" s="22"/>
    </row>
    <row r="4156" spans="1:1">
      <c r="A4156" s="22"/>
    </row>
    <row r="4157" spans="1:1">
      <c r="A4157" s="22"/>
    </row>
    <row r="4158" spans="1:1">
      <c r="A4158" s="22"/>
    </row>
    <row r="4159" spans="1:1">
      <c r="A4159" s="22"/>
    </row>
    <row r="4160" spans="1:1">
      <c r="A4160" s="22"/>
    </row>
    <row r="4161" spans="1:1">
      <c r="A4161" s="22"/>
    </row>
    <row r="4162" spans="1:1">
      <c r="A4162" s="22"/>
    </row>
    <row r="4163" spans="1:1">
      <c r="A4163" s="22"/>
    </row>
    <row r="4164" spans="1:1">
      <c r="A4164" s="22"/>
    </row>
    <row r="4165" spans="1:1">
      <c r="A4165" s="22"/>
    </row>
    <row r="4166" spans="1:1">
      <c r="A4166" s="22"/>
    </row>
    <row r="4167" spans="1:1">
      <c r="A4167" s="22"/>
    </row>
    <row r="4168" spans="1:1">
      <c r="A4168" s="22"/>
    </row>
    <row r="4169" spans="1:1">
      <c r="A4169" s="22"/>
    </row>
    <row r="4170" spans="1:1">
      <c r="A4170" s="22"/>
    </row>
    <row r="4171" spans="1:1">
      <c r="A4171" s="22"/>
    </row>
    <row r="4172" spans="1:1">
      <c r="A4172" s="22"/>
    </row>
    <row r="4173" spans="1:1">
      <c r="A4173" s="22"/>
    </row>
    <row r="4174" spans="1:1">
      <c r="A4174" s="22"/>
    </row>
    <row r="4175" spans="1:1">
      <c r="A4175" s="22"/>
    </row>
    <row r="4176" spans="1:1">
      <c r="A4176" s="22"/>
    </row>
    <row r="4177" spans="1:1">
      <c r="A4177" s="22"/>
    </row>
    <row r="4178" spans="1:1">
      <c r="A4178" s="22"/>
    </row>
    <row r="4179" spans="1:1">
      <c r="A4179" s="22"/>
    </row>
    <row r="4180" spans="1:1">
      <c r="A4180" s="22"/>
    </row>
    <row r="4181" spans="1:1">
      <c r="A4181" s="22"/>
    </row>
    <row r="4182" spans="1:1">
      <c r="A4182" s="22"/>
    </row>
    <row r="4183" spans="1:1">
      <c r="A4183" s="22"/>
    </row>
    <row r="4184" spans="1:1">
      <c r="A4184" s="22"/>
    </row>
    <row r="4185" spans="1:1">
      <c r="A4185" s="22"/>
    </row>
    <row r="4186" spans="1:1">
      <c r="A4186" s="22"/>
    </row>
    <row r="4187" spans="1:1">
      <c r="A4187" s="22"/>
    </row>
    <row r="4188" spans="1:1">
      <c r="A4188" s="22"/>
    </row>
    <row r="4189" spans="1:1">
      <c r="A4189" s="22"/>
    </row>
    <row r="4190" spans="1:1">
      <c r="A4190" s="22"/>
    </row>
    <row r="4191" spans="1:1">
      <c r="A4191" s="22"/>
    </row>
    <row r="4192" spans="1:1">
      <c r="A4192" s="22"/>
    </row>
    <row r="4193" spans="1:1">
      <c r="A4193" s="22"/>
    </row>
    <row r="4194" spans="1:1">
      <c r="A4194" s="22"/>
    </row>
    <row r="4195" spans="1:1">
      <c r="A4195" s="22"/>
    </row>
    <row r="4196" spans="1:1">
      <c r="A4196" s="22"/>
    </row>
    <row r="4197" spans="1:1">
      <c r="A4197" s="22"/>
    </row>
    <row r="4198" spans="1:1">
      <c r="A4198" s="22"/>
    </row>
    <row r="4199" spans="1:1">
      <c r="A4199" s="22"/>
    </row>
    <row r="4200" spans="1:1">
      <c r="A4200" s="22"/>
    </row>
    <row r="4201" spans="1:1">
      <c r="A4201" s="22"/>
    </row>
    <row r="4202" spans="1:1">
      <c r="A4202" s="22"/>
    </row>
    <row r="4203" spans="1:1">
      <c r="A4203" s="22"/>
    </row>
    <row r="4204" spans="1:1">
      <c r="A4204" s="22"/>
    </row>
    <row r="4205" spans="1:1">
      <c r="A4205" s="22"/>
    </row>
    <row r="4206" spans="1:1">
      <c r="A4206" s="22"/>
    </row>
    <row r="4207" spans="1:1">
      <c r="A4207" s="22"/>
    </row>
    <row r="4208" spans="1:1">
      <c r="A4208" s="22"/>
    </row>
    <row r="4209" spans="1:1">
      <c r="A4209" s="22"/>
    </row>
    <row r="4210" spans="1:1">
      <c r="A4210" s="22"/>
    </row>
    <row r="4211" spans="1:1">
      <c r="A4211" s="22"/>
    </row>
    <row r="4212" spans="1:1">
      <c r="A4212" s="22"/>
    </row>
    <row r="4213" spans="1:1">
      <c r="A4213" s="22"/>
    </row>
    <row r="4214" spans="1:1">
      <c r="A4214" s="22"/>
    </row>
    <row r="4215" spans="1:1">
      <c r="A4215" s="22"/>
    </row>
    <row r="4216" spans="1:1">
      <c r="A4216" s="22"/>
    </row>
    <row r="4217" spans="1:1">
      <c r="A4217" s="22"/>
    </row>
    <row r="4218" spans="1:1">
      <c r="A4218" s="22"/>
    </row>
    <row r="4219" spans="1:1">
      <c r="A4219" s="22"/>
    </row>
    <row r="4220" spans="1:1">
      <c r="A4220" s="22"/>
    </row>
    <row r="4221" spans="1:1">
      <c r="A4221" s="22"/>
    </row>
    <row r="4222" spans="1:1">
      <c r="A4222" s="22"/>
    </row>
    <row r="4223" spans="1:1">
      <c r="A4223" s="22"/>
    </row>
    <row r="4224" spans="1:1">
      <c r="A4224" s="22"/>
    </row>
    <row r="4225" spans="1:1">
      <c r="A4225" s="22"/>
    </row>
    <row r="4226" spans="1:1">
      <c r="A4226" s="22"/>
    </row>
    <row r="4227" spans="1:1">
      <c r="A4227" s="22"/>
    </row>
    <row r="4228" spans="1:1">
      <c r="A4228" s="22"/>
    </row>
    <row r="4229" spans="1:1">
      <c r="A4229" s="22"/>
    </row>
    <row r="4230" spans="1:1">
      <c r="A4230" s="22"/>
    </row>
    <row r="4231" spans="1:1">
      <c r="A4231" s="22"/>
    </row>
    <row r="4232" spans="1:1">
      <c r="A4232" s="22"/>
    </row>
    <row r="4233" spans="1:1">
      <c r="A4233" s="22"/>
    </row>
    <row r="4234" spans="1:1">
      <c r="A4234" s="22"/>
    </row>
    <row r="4235" spans="1:1">
      <c r="A4235" s="22"/>
    </row>
    <row r="4236" spans="1:1">
      <c r="A4236" s="22"/>
    </row>
    <row r="4237" spans="1:1">
      <c r="A4237" s="22"/>
    </row>
    <row r="4238" spans="1:1">
      <c r="A4238" s="22"/>
    </row>
    <row r="4239" spans="1:1">
      <c r="A4239" s="22"/>
    </row>
    <row r="4240" spans="1:1">
      <c r="A4240" s="22"/>
    </row>
    <row r="4241" spans="1:1">
      <c r="A4241" s="22"/>
    </row>
    <row r="4242" spans="1:1">
      <c r="A4242" s="22"/>
    </row>
    <row r="4243" spans="1:1">
      <c r="A4243" s="22"/>
    </row>
    <row r="4244" spans="1:1">
      <c r="A4244" s="22"/>
    </row>
    <row r="4245" spans="1:1">
      <c r="A4245" s="22"/>
    </row>
    <row r="4246" spans="1:1">
      <c r="A4246" s="22"/>
    </row>
    <row r="4247" spans="1:1">
      <c r="A4247" s="22"/>
    </row>
    <row r="4248" spans="1:1">
      <c r="A4248" s="22"/>
    </row>
    <row r="4249" spans="1:1">
      <c r="A4249" s="22"/>
    </row>
    <row r="4250" spans="1:1">
      <c r="A4250" s="22"/>
    </row>
    <row r="4251" spans="1:1">
      <c r="A4251" s="22"/>
    </row>
    <row r="4252" spans="1:1">
      <c r="A4252" s="22"/>
    </row>
    <row r="4253" spans="1:1">
      <c r="A4253" s="22"/>
    </row>
    <row r="4254" spans="1:1">
      <c r="A4254" s="22"/>
    </row>
    <row r="4255" spans="1:1">
      <c r="A4255" s="22"/>
    </row>
    <row r="4256" spans="1:1">
      <c r="A4256" s="22"/>
    </row>
    <row r="4257" spans="1:1">
      <c r="A4257" s="22"/>
    </row>
    <row r="4258" spans="1:1">
      <c r="A4258" s="22"/>
    </row>
    <row r="4259" spans="1:1">
      <c r="A4259" s="22"/>
    </row>
    <row r="4260" spans="1:1">
      <c r="A4260" s="22"/>
    </row>
    <row r="4261" spans="1:1">
      <c r="A4261" s="22"/>
    </row>
    <row r="4262" spans="1:1">
      <c r="A4262" s="22"/>
    </row>
    <row r="4263" spans="1:1">
      <c r="A4263" s="22"/>
    </row>
    <row r="4264" spans="1:1">
      <c r="A4264" s="22"/>
    </row>
    <row r="4265" spans="1:1">
      <c r="A4265" s="22"/>
    </row>
    <row r="4266" spans="1:1">
      <c r="A4266" s="22"/>
    </row>
    <row r="4267" spans="1:1">
      <c r="A4267" s="22"/>
    </row>
    <row r="4268" spans="1:1">
      <c r="A4268" s="22"/>
    </row>
    <row r="4269" spans="1:1">
      <c r="A4269" s="22"/>
    </row>
    <row r="4270" spans="1:1">
      <c r="A4270" s="22"/>
    </row>
    <row r="4271" spans="1:1">
      <c r="A4271" s="22"/>
    </row>
    <row r="4272" spans="1:1">
      <c r="A4272" s="22"/>
    </row>
    <row r="4273" spans="1:1">
      <c r="A4273" s="22"/>
    </row>
    <row r="4274" spans="1:1">
      <c r="A4274" s="22"/>
    </row>
    <row r="4275" spans="1:1">
      <c r="A4275" s="22"/>
    </row>
    <row r="4276" spans="1:1">
      <c r="A4276" s="22"/>
    </row>
    <row r="4277" spans="1:1">
      <c r="A4277" s="22"/>
    </row>
    <row r="4278" spans="1:1">
      <c r="A4278" s="22"/>
    </row>
    <row r="4279" spans="1:1">
      <c r="A4279" s="22"/>
    </row>
    <row r="4280" spans="1:1">
      <c r="A4280" s="22"/>
    </row>
    <row r="4281" spans="1:1">
      <c r="A4281" s="22"/>
    </row>
    <row r="4282" spans="1:1">
      <c r="A4282" s="22"/>
    </row>
    <row r="4283" spans="1:1">
      <c r="A4283" s="22"/>
    </row>
    <row r="4284" spans="1:1">
      <c r="A4284" s="22"/>
    </row>
    <row r="4285" spans="1:1">
      <c r="A4285" s="22"/>
    </row>
    <row r="4286" spans="1:1">
      <c r="A4286" s="22"/>
    </row>
    <row r="4287" spans="1:1">
      <c r="A4287" s="22"/>
    </row>
    <row r="4288" spans="1:1">
      <c r="A4288" s="22"/>
    </row>
    <row r="4289" spans="1:1">
      <c r="A4289" s="22"/>
    </row>
    <row r="4290" spans="1:1">
      <c r="A4290" s="22"/>
    </row>
    <row r="4291" spans="1:1">
      <c r="A4291" s="22"/>
    </row>
    <row r="4292" spans="1:1">
      <c r="A4292" s="22"/>
    </row>
    <row r="4293" spans="1:1">
      <c r="A4293" s="22"/>
    </row>
    <row r="4294" spans="1:1">
      <c r="A4294" s="22"/>
    </row>
    <row r="4295" spans="1:1">
      <c r="A4295" s="22"/>
    </row>
    <row r="4296" spans="1:1">
      <c r="A4296" s="22"/>
    </row>
    <row r="4297" spans="1:1">
      <c r="A4297" s="22"/>
    </row>
    <row r="4298" spans="1:1">
      <c r="A4298" s="22"/>
    </row>
    <row r="4299" spans="1:1">
      <c r="A4299" s="22"/>
    </row>
    <row r="4300" spans="1:1">
      <c r="A4300" s="22"/>
    </row>
    <row r="4301" spans="1:1">
      <c r="A4301" s="22"/>
    </row>
    <row r="4302" spans="1:1">
      <c r="A4302" s="22"/>
    </row>
    <row r="4303" spans="1:1">
      <c r="A4303" s="22"/>
    </row>
    <row r="4304" spans="1:1">
      <c r="A4304" s="22"/>
    </row>
    <row r="4305" spans="1:1">
      <c r="A4305" s="22"/>
    </row>
    <row r="4306" spans="1:1">
      <c r="A4306" s="22"/>
    </row>
    <row r="4307" spans="1:1">
      <c r="A4307" s="22"/>
    </row>
    <row r="4308" spans="1:1">
      <c r="A4308" s="22"/>
    </row>
    <row r="4309" spans="1:1">
      <c r="A4309" s="22"/>
    </row>
    <row r="4310" spans="1:1">
      <c r="A4310" s="22"/>
    </row>
    <row r="4311" spans="1:1">
      <c r="A4311" s="22"/>
    </row>
    <row r="4312" spans="1:1">
      <c r="A4312" s="22"/>
    </row>
    <row r="4313" spans="1:1">
      <c r="A4313" s="22"/>
    </row>
    <row r="4314" spans="1:1">
      <c r="A4314" s="22"/>
    </row>
    <row r="4315" spans="1:1">
      <c r="A4315" s="22"/>
    </row>
    <row r="4316" spans="1:1">
      <c r="A4316" s="22"/>
    </row>
    <row r="4317" spans="1:1">
      <c r="A4317" s="22"/>
    </row>
    <row r="4318" spans="1:1">
      <c r="A4318" s="22"/>
    </row>
    <row r="4319" spans="1:1">
      <c r="A4319" s="22"/>
    </row>
    <row r="4320" spans="1:1">
      <c r="A4320" s="22"/>
    </row>
    <row r="4321" spans="1:1">
      <c r="A4321" s="22"/>
    </row>
    <row r="4322" spans="1:1">
      <c r="A4322" s="22"/>
    </row>
    <row r="4323" spans="1:1">
      <c r="A4323" s="22"/>
    </row>
    <row r="4324" spans="1:1">
      <c r="A4324" s="22"/>
    </row>
    <row r="4325" spans="1:1">
      <c r="A4325" s="22"/>
    </row>
    <row r="4326" spans="1:1">
      <c r="A4326" s="22"/>
    </row>
    <row r="4327" spans="1:1">
      <c r="A4327" s="22"/>
    </row>
    <row r="4328" spans="1:1">
      <c r="A4328" s="22"/>
    </row>
    <row r="4329" spans="1:1">
      <c r="A4329" s="22"/>
    </row>
    <row r="4330" spans="1:1">
      <c r="A4330" s="22"/>
    </row>
    <row r="4331" spans="1:1">
      <c r="A4331" s="22"/>
    </row>
    <row r="4332" spans="1:1">
      <c r="A4332" s="22"/>
    </row>
    <row r="4333" spans="1:1">
      <c r="A4333" s="22"/>
    </row>
    <row r="4334" spans="1:1">
      <c r="A4334" s="22"/>
    </row>
    <row r="4335" spans="1:1">
      <c r="A4335" s="22"/>
    </row>
    <row r="4336" spans="1:1">
      <c r="A4336" s="22"/>
    </row>
    <row r="4337" spans="1:1">
      <c r="A4337" s="22"/>
    </row>
    <row r="4338" spans="1:1">
      <c r="A4338" s="22"/>
    </row>
    <row r="4339" spans="1:1">
      <c r="A4339" s="22"/>
    </row>
    <row r="4340" spans="1:1">
      <c r="A4340" s="22"/>
    </row>
    <row r="4341" spans="1:1">
      <c r="A4341" s="22"/>
    </row>
    <row r="4342" spans="1:1">
      <c r="A4342" s="22"/>
    </row>
    <row r="4343" spans="1:1">
      <c r="A4343" s="22"/>
    </row>
    <row r="4344" spans="1:1">
      <c r="A4344" s="22"/>
    </row>
    <row r="4345" spans="1:1">
      <c r="A4345" s="22"/>
    </row>
    <row r="4346" spans="1:1">
      <c r="A4346" s="22"/>
    </row>
    <row r="4347" spans="1:1">
      <c r="A4347" s="22"/>
    </row>
    <row r="4348" spans="1:1">
      <c r="A4348" s="22"/>
    </row>
    <row r="4349" spans="1:1">
      <c r="A4349" s="22"/>
    </row>
    <row r="4350" spans="1:1">
      <c r="A4350" s="22"/>
    </row>
    <row r="4351" spans="1:1">
      <c r="A4351" s="22"/>
    </row>
    <row r="4352" spans="1:1">
      <c r="A4352" s="22"/>
    </row>
    <row r="4353" spans="1:1">
      <c r="A4353" s="22"/>
    </row>
    <row r="4354" spans="1:1">
      <c r="A4354" s="22"/>
    </row>
    <row r="4355" spans="1:1">
      <c r="A4355" s="22"/>
    </row>
    <row r="4356" spans="1:1">
      <c r="A4356" s="22"/>
    </row>
    <row r="4357" spans="1:1">
      <c r="A4357" s="22"/>
    </row>
    <row r="4358" spans="1:1">
      <c r="A4358" s="22"/>
    </row>
    <row r="4359" spans="1:1">
      <c r="A4359" s="22"/>
    </row>
    <row r="4360" spans="1:1">
      <c r="A4360" s="22"/>
    </row>
    <row r="4361" spans="1:1">
      <c r="A4361" s="22"/>
    </row>
    <row r="4362" spans="1:1">
      <c r="A4362" s="22"/>
    </row>
    <row r="4363" spans="1:1">
      <c r="A4363" s="22"/>
    </row>
    <row r="4364" spans="1:1">
      <c r="A4364" s="22"/>
    </row>
    <row r="4365" spans="1:1">
      <c r="A4365" s="22"/>
    </row>
    <row r="4366" spans="1:1">
      <c r="A4366" s="22"/>
    </row>
    <row r="4367" spans="1:1">
      <c r="A4367" s="22"/>
    </row>
    <row r="4368" spans="1:1">
      <c r="A4368" s="22"/>
    </row>
    <row r="4369" spans="1:1">
      <c r="A4369" s="22"/>
    </row>
    <row r="4370" spans="1:1">
      <c r="A4370" s="22"/>
    </row>
    <row r="4371" spans="1:1">
      <c r="A4371" s="22"/>
    </row>
    <row r="4372" spans="1:1">
      <c r="A4372" s="22"/>
    </row>
    <row r="4373" spans="1:1">
      <c r="A4373" s="22"/>
    </row>
    <row r="4374" spans="1:1">
      <c r="A4374" s="22"/>
    </row>
    <row r="4375" spans="1:1">
      <c r="A4375" s="22"/>
    </row>
    <row r="4376" spans="1:1">
      <c r="A4376" s="22"/>
    </row>
    <row r="4377" spans="1:1">
      <c r="A4377" s="22"/>
    </row>
    <row r="4378" spans="1:1">
      <c r="A4378" s="22"/>
    </row>
    <row r="4379" spans="1:1">
      <c r="A4379" s="22"/>
    </row>
    <row r="4380" spans="1:1">
      <c r="A4380" s="22"/>
    </row>
    <row r="4381" spans="1:1">
      <c r="A4381" s="22"/>
    </row>
    <row r="4382" spans="1:1">
      <c r="A4382" s="22"/>
    </row>
    <row r="4383" spans="1:1">
      <c r="A4383" s="22"/>
    </row>
    <row r="4384" spans="1:1">
      <c r="A4384" s="22"/>
    </row>
    <row r="4385" spans="1:1">
      <c r="A4385" s="22"/>
    </row>
    <row r="4386" spans="1:1">
      <c r="A4386" s="22"/>
    </row>
    <row r="4387" spans="1:1">
      <c r="A4387" s="22"/>
    </row>
    <row r="4388" spans="1:1">
      <c r="A4388" s="22"/>
    </row>
    <row r="4389" spans="1:1">
      <c r="A4389" s="22"/>
    </row>
    <row r="4390" spans="1:1">
      <c r="A4390" s="22"/>
    </row>
    <row r="4391" spans="1:1">
      <c r="A4391" s="22"/>
    </row>
    <row r="4392" spans="1:1">
      <c r="A4392" s="22"/>
    </row>
    <row r="4393" spans="1:1">
      <c r="A4393" s="22"/>
    </row>
    <row r="4394" spans="1:1">
      <c r="A4394" s="22"/>
    </row>
    <row r="4395" spans="1:1">
      <c r="A4395" s="22"/>
    </row>
    <row r="4396" spans="1:1">
      <c r="A4396" s="22"/>
    </row>
    <row r="4397" spans="1:1">
      <c r="A4397" s="22"/>
    </row>
    <row r="4398" spans="1:1">
      <c r="A4398" s="22"/>
    </row>
    <row r="4399" spans="1:1">
      <c r="A4399" s="22"/>
    </row>
    <row r="4400" spans="1:1">
      <c r="A4400" s="22"/>
    </row>
    <row r="4401" spans="1:1">
      <c r="A4401" s="22"/>
    </row>
    <row r="4402" spans="1:1">
      <c r="A4402" s="22"/>
    </row>
    <row r="4403" spans="1:1">
      <c r="A4403" s="22"/>
    </row>
    <row r="4404" spans="1:1">
      <c r="A4404" s="22"/>
    </row>
    <row r="4405" spans="1:1">
      <c r="A4405" s="22"/>
    </row>
    <row r="4406" spans="1:1">
      <c r="A4406" s="22"/>
    </row>
    <row r="4407" spans="1:1">
      <c r="A4407" s="22"/>
    </row>
    <row r="4408" spans="1:1">
      <c r="A4408" s="22"/>
    </row>
    <row r="4409" spans="1:1">
      <c r="A4409" s="22"/>
    </row>
    <row r="4410" spans="1:1">
      <c r="A4410" s="22"/>
    </row>
    <row r="4411" spans="1:1">
      <c r="A4411" s="22"/>
    </row>
    <row r="4412" spans="1:1">
      <c r="A4412" s="22"/>
    </row>
    <row r="4413" spans="1:1">
      <c r="A4413" s="22"/>
    </row>
    <row r="4414" spans="1:1">
      <c r="A4414" s="22"/>
    </row>
    <row r="4415" spans="1:1">
      <c r="A4415" s="22"/>
    </row>
    <row r="4416" spans="1:1">
      <c r="A4416" s="22"/>
    </row>
    <row r="4417" spans="1:1">
      <c r="A4417" s="22"/>
    </row>
    <row r="4418" spans="1:1">
      <c r="A4418" s="22"/>
    </row>
    <row r="4419" spans="1:1">
      <c r="A4419" s="22"/>
    </row>
    <row r="4420" spans="1:1">
      <c r="A4420" s="22"/>
    </row>
    <row r="4421" spans="1:1">
      <c r="A4421" s="22"/>
    </row>
    <row r="4422" spans="1:1">
      <c r="A4422" s="22"/>
    </row>
    <row r="4423" spans="1:1">
      <c r="A4423" s="22"/>
    </row>
    <row r="4424" spans="1:1">
      <c r="A4424" s="22"/>
    </row>
    <row r="4425" spans="1:1">
      <c r="A4425" s="22"/>
    </row>
    <row r="4426" spans="1:1">
      <c r="A4426" s="22"/>
    </row>
    <row r="4427" spans="1:1">
      <c r="A4427" s="22"/>
    </row>
    <row r="4428" spans="1:1">
      <c r="A4428" s="22"/>
    </row>
    <row r="4429" spans="1:1">
      <c r="A4429" s="22"/>
    </row>
    <row r="4430" spans="1:1">
      <c r="A4430" s="22"/>
    </row>
    <row r="4431" spans="1:1">
      <c r="A4431" s="22"/>
    </row>
    <row r="4432" spans="1:1">
      <c r="A4432" s="22"/>
    </row>
    <row r="4433" spans="1:1">
      <c r="A4433" s="22"/>
    </row>
    <row r="4434" spans="1:1">
      <c r="A4434" s="22"/>
    </row>
    <row r="4435" spans="1:1">
      <c r="A4435" s="22"/>
    </row>
    <row r="4436" spans="1:1">
      <c r="A4436" s="22"/>
    </row>
    <row r="4437" spans="1:1">
      <c r="A4437" s="22"/>
    </row>
    <row r="4438" spans="1:1">
      <c r="A4438" s="22"/>
    </row>
    <row r="4439" spans="1:1">
      <c r="A4439" s="22"/>
    </row>
    <row r="4440" spans="1:1">
      <c r="A4440" s="22"/>
    </row>
    <row r="4441" spans="1:1">
      <c r="A4441" s="22"/>
    </row>
    <row r="4442" spans="1:1">
      <c r="A4442" s="22"/>
    </row>
    <row r="4443" spans="1:1">
      <c r="A4443" s="22"/>
    </row>
    <row r="4444" spans="1:1">
      <c r="A4444" s="22"/>
    </row>
    <row r="4445" spans="1:1">
      <c r="A4445" s="22"/>
    </row>
    <row r="4446" spans="1:1">
      <c r="A4446" s="22"/>
    </row>
    <row r="4447" spans="1:1">
      <c r="A4447" s="22"/>
    </row>
    <row r="4448" spans="1:1">
      <c r="A4448" s="22"/>
    </row>
    <row r="4449" spans="1:1">
      <c r="A4449" s="22"/>
    </row>
    <row r="4450" spans="1:1">
      <c r="A4450" s="22"/>
    </row>
    <row r="4451" spans="1:1">
      <c r="A4451" s="22"/>
    </row>
    <row r="4452" spans="1:1">
      <c r="A4452" s="22"/>
    </row>
    <row r="4453" spans="1:1">
      <c r="A4453" s="22"/>
    </row>
    <row r="4454" spans="1:1">
      <c r="A4454" s="22"/>
    </row>
    <row r="4455" spans="1:1">
      <c r="A4455" s="22"/>
    </row>
    <row r="4456" spans="1:1">
      <c r="A4456" s="22"/>
    </row>
    <row r="4457" spans="1:1">
      <c r="A4457" s="22"/>
    </row>
    <row r="4458" spans="1:1">
      <c r="A4458" s="22"/>
    </row>
    <row r="4459" spans="1:1">
      <c r="A4459" s="22"/>
    </row>
    <row r="4460" spans="1:1">
      <c r="A4460" s="22"/>
    </row>
    <row r="4461" spans="1:1">
      <c r="A4461" s="22"/>
    </row>
    <row r="4462" spans="1:1">
      <c r="A4462" s="22"/>
    </row>
    <row r="4463" spans="1:1">
      <c r="A4463" s="22"/>
    </row>
    <row r="4464" spans="1:1">
      <c r="A4464" s="22"/>
    </row>
    <row r="4465" spans="1:1">
      <c r="A4465" s="22"/>
    </row>
    <row r="4466" spans="1:1">
      <c r="A4466" s="22"/>
    </row>
    <row r="4467" spans="1:1">
      <c r="A4467" s="22"/>
    </row>
    <row r="4468" spans="1:1">
      <c r="A4468" s="22"/>
    </row>
    <row r="4469" spans="1:1">
      <c r="A4469" s="22"/>
    </row>
    <row r="4470" spans="1:1">
      <c r="A4470" s="22"/>
    </row>
    <row r="4471" spans="1:1">
      <c r="A4471" s="22"/>
    </row>
    <row r="4472" spans="1:1">
      <c r="A4472" s="22"/>
    </row>
    <row r="4473" spans="1:1">
      <c r="A4473" s="22"/>
    </row>
    <row r="4474" spans="1:1">
      <c r="A4474" s="22"/>
    </row>
    <row r="4475" spans="1:1">
      <c r="A4475" s="22"/>
    </row>
    <row r="4476" spans="1:1">
      <c r="A4476" s="22"/>
    </row>
    <row r="4477" spans="1:1">
      <c r="A4477" s="22"/>
    </row>
    <row r="4478" spans="1:1">
      <c r="A4478" s="22"/>
    </row>
    <row r="4479" spans="1:1">
      <c r="A4479" s="22"/>
    </row>
    <row r="4480" spans="1:1">
      <c r="A4480" s="22"/>
    </row>
    <row r="4481" spans="1:1">
      <c r="A4481" s="22"/>
    </row>
    <row r="4482" spans="1:1">
      <c r="A4482" s="22"/>
    </row>
    <row r="4483" spans="1:1">
      <c r="A4483" s="22"/>
    </row>
    <row r="4484" spans="1:1">
      <c r="A4484" s="22"/>
    </row>
    <row r="4485" spans="1:1">
      <c r="A4485" s="22"/>
    </row>
    <row r="4486" spans="1:1">
      <c r="A4486" s="22"/>
    </row>
    <row r="4487" spans="1:1">
      <c r="A4487" s="22"/>
    </row>
    <row r="4488" spans="1:1">
      <c r="A4488" s="22"/>
    </row>
    <row r="4489" spans="1:1">
      <c r="A4489" s="22"/>
    </row>
    <row r="4490" spans="1:1">
      <c r="A4490" s="22"/>
    </row>
    <row r="4491" spans="1:1">
      <c r="A4491" s="22"/>
    </row>
    <row r="4492" spans="1:1">
      <c r="A4492" s="22"/>
    </row>
    <row r="4493" spans="1:1">
      <c r="A4493" s="22"/>
    </row>
    <row r="4494" spans="1:1">
      <c r="A4494" s="22"/>
    </row>
    <row r="4495" spans="1:1">
      <c r="A4495" s="22"/>
    </row>
    <row r="4496" spans="1:1">
      <c r="A4496" s="22"/>
    </row>
    <row r="4497" spans="1:1">
      <c r="A4497" s="22"/>
    </row>
    <row r="4498" spans="1:1">
      <c r="A4498" s="22"/>
    </row>
    <row r="4499" spans="1:1">
      <c r="A4499" s="22"/>
    </row>
    <row r="4500" spans="1:1">
      <c r="A4500" s="22"/>
    </row>
    <row r="4501" spans="1:1">
      <c r="A4501" s="22"/>
    </row>
    <row r="4502" spans="1:1">
      <c r="A4502" s="22"/>
    </row>
    <row r="4503" spans="1:1">
      <c r="A4503" s="22"/>
    </row>
    <row r="4504" spans="1:1">
      <c r="A4504" s="22"/>
    </row>
    <row r="4505" spans="1:1">
      <c r="A4505" s="22"/>
    </row>
    <row r="4506" spans="1:1">
      <c r="A4506" s="22"/>
    </row>
    <row r="4507" spans="1:1">
      <c r="A4507" s="22"/>
    </row>
    <row r="4508" spans="1:1">
      <c r="A4508" s="22"/>
    </row>
    <row r="4509" spans="1:1">
      <c r="A4509" s="22"/>
    </row>
    <row r="4510" spans="1:1">
      <c r="A4510" s="22"/>
    </row>
    <row r="4511" spans="1:1">
      <c r="A4511" s="22"/>
    </row>
    <row r="4512" spans="1:1">
      <c r="A4512" s="22"/>
    </row>
    <row r="4513" spans="1:1">
      <c r="A4513" s="22"/>
    </row>
    <row r="4514" spans="1:1">
      <c r="A4514" s="22"/>
    </row>
    <row r="4515" spans="1:1">
      <c r="A4515" s="22"/>
    </row>
    <row r="4516" spans="1:1">
      <c r="A4516" s="22"/>
    </row>
    <row r="4517" spans="1:1">
      <c r="A4517" s="22"/>
    </row>
    <row r="4518" spans="1:1">
      <c r="A4518" s="22"/>
    </row>
    <row r="4519" spans="1:1">
      <c r="A4519" s="22"/>
    </row>
    <row r="4520" spans="1:1">
      <c r="A4520" s="22"/>
    </row>
    <row r="4521" spans="1:1">
      <c r="A4521" s="22"/>
    </row>
    <row r="4522" spans="1:1">
      <c r="A4522" s="22"/>
    </row>
    <row r="4523" spans="1:1">
      <c r="A4523" s="22"/>
    </row>
    <row r="4524" spans="1:1">
      <c r="A4524" s="22"/>
    </row>
    <row r="4525" spans="1:1">
      <c r="A4525" s="22"/>
    </row>
    <row r="4526" spans="1:1">
      <c r="A4526" s="22"/>
    </row>
    <row r="4527" spans="1:1">
      <c r="A4527" s="22"/>
    </row>
    <row r="4528" spans="1:1">
      <c r="A4528" s="22"/>
    </row>
    <row r="4529" spans="1:1">
      <c r="A4529" s="22"/>
    </row>
    <row r="4530" spans="1:1">
      <c r="A4530" s="22"/>
    </row>
    <row r="4531" spans="1:1">
      <c r="A4531" s="22"/>
    </row>
    <row r="4532" spans="1:1">
      <c r="A4532" s="22"/>
    </row>
    <row r="4533" spans="1:1">
      <c r="A4533" s="22"/>
    </row>
    <row r="4534" spans="1:1">
      <c r="A4534" s="22"/>
    </row>
    <row r="4535" spans="1:1">
      <c r="A4535" s="22"/>
    </row>
    <row r="4536" spans="1:1">
      <c r="A4536" s="22"/>
    </row>
    <row r="4537" spans="1:1">
      <c r="A4537" s="22"/>
    </row>
    <row r="4538" spans="1:1">
      <c r="A4538" s="22"/>
    </row>
    <row r="4539" spans="1:1">
      <c r="A4539" s="22"/>
    </row>
    <row r="4540" spans="1:1">
      <c r="A4540" s="22"/>
    </row>
    <row r="4541" spans="1:1">
      <c r="A4541" s="22"/>
    </row>
    <row r="4542" spans="1:1">
      <c r="A4542" s="22"/>
    </row>
    <row r="4543" spans="1:1">
      <c r="A4543" s="22"/>
    </row>
    <row r="4544" spans="1:1">
      <c r="A4544" s="22"/>
    </row>
    <row r="4545" spans="1:1">
      <c r="A4545" s="22"/>
    </row>
    <row r="4546" spans="1:1">
      <c r="A4546" s="22"/>
    </row>
    <row r="4547" spans="1:1">
      <c r="A4547" s="22"/>
    </row>
    <row r="4548" spans="1:1">
      <c r="A4548" s="22"/>
    </row>
    <row r="4549" spans="1:1">
      <c r="A4549" s="22"/>
    </row>
    <row r="4550" spans="1:1">
      <c r="A4550" s="22"/>
    </row>
    <row r="4551" spans="1:1">
      <c r="A4551" s="22"/>
    </row>
    <row r="4552" spans="1:1">
      <c r="A4552" s="22"/>
    </row>
    <row r="4553" spans="1:1">
      <c r="A4553" s="22"/>
    </row>
    <row r="4554" spans="1:1">
      <c r="A4554" s="22"/>
    </row>
    <row r="4555" spans="1:1">
      <c r="A4555" s="22"/>
    </row>
    <row r="4556" spans="1:1">
      <c r="A4556" s="22"/>
    </row>
    <row r="4557" spans="1:1">
      <c r="A4557" s="22"/>
    </row>
    <row r="4558" spans="1:1">
      <c r="A4558" s="22"/>
    </row>
    <row r="4559" spans="1:1">
      <c r="A4559" s="22"/>
    </row>
    <row r="4560" spans="1:1">
      <c r="A4560" s="22"/>
    </row>
    <row r="4561" spans="1:1">
      <c r="A4561" s="22"/>
    </row>
    <row r="4562" spans="1:1">
      <c r="A4562" s="22"/>
    </row>
    <row r="4563" spans="1:1">
      <c r="A4563" s="22"/>
    </row>
    <row r="4564" spans="1:1">
      <c r="A4564" s="22"/>
    </row>
    <row r="4565" spans="1:1">
      <c r="A4565" s="22"/>
    </row>
    <row r="4566" spans="1:1">
      <c r="A4566" s="22"/>
    </row>
    <row r="4567" spans="1:1">
      <c r="A4567" s="22"/>
    </row>
    <row r="4568" spans="1:1">
      <c r="A4568" s="22"/>
    </row>
    <row r="4569" spans="1:1">
      <c r="A4569" s="22"/>
    </row>
    <row r="4570" spans="1:1">
      <c r="A4570" s="22"/>
    </row>
    <row r="4571" spans="1:1">
      <c r="A4571" s="22"/>
    </row>
    <row r="4572" spans="1:1">
      <c r="A4572" s="22"/>
    </row>
    <row r="4573" spans="1:1">
      <c r="A4573" s="22"/>
    </row>
    <row r="4574" spans="1:1">
      <c r="A4574" s="22"/>
    </row>
    <row r="4575" spans="1:1">
      <c r="A4575" s="22"/>
    </row>
    <row r="4576" spans="1:1">
      <c r="A4576" s="22"/>
    </row>
    <row r="4577" spans="1:1">
      <c r="A4577" s="22"/>
    </row>
    <row r="4578" spans="1:1">
      <c r="A4578" s="22"/>
    </row>
    <row r="4579" spans="1:1">
      <c r="A4579" s="22"/>
    </row>
    <row r="4580" spans="1:1">
      <c r="A4580" s="22"/>
    </row>
    <row r="4581" spans="1:1">
      <c r="A4581" s="22"/>
    </row>
    <row r="4582" spans="1:1">
      <c r="A4582" s="22"/>
    </row>
    <row r="4583" spans="1:1">
      <c r="A4583" s="22"/>
    </row>
    <row r="4584" spans="1:1">
      <c r="A4584" s="22"/>
    </row>
    <row r="4585" spans="1:1">
      <c r="A4585" s="22"/>
    </row>
    <row r="4586" spans="1:1">
      <c r="A4586" s="22"/>
    </row>
    <row r="4587" spans="1:1">
      <c r="A4587" s="22"/>
    </row>
    <row r="4588" spans="1:1">
      <c r="A4588" s="22"/>
    </row>
    <row r="4589" spans="1:1">
      <c r="A4589" s="22"/>
    </row>
    <row r="4590" spans="1:1">
      <c r="A4590" s="22"/>
    </row>
    <row r="4591" spans="1:1">
      <c r="A4591" s="22"/>
    </row>
    <row r="4592" spans="1:1">
      <c r="A4592" s="22"/>
    </row>
    <row r="4593" spans="1:1">
      <c r="A4593" s="22"/>
    </row>
    <row r="4594" spans="1:1">
      <c r="A4594" s="22"/>
    </row>
    <row r="4595" spans="1:1">
      <c r="A4595" s="22"/>
    </row>
    <row r="4596" spans="1:1">
      <c r="A4596" s="22"/>
    </row>
    <row r="4597" spans="1:1">
      <c r="A4597" s="22"/>
    </row>
    <row r="4598" spans="1:1">
      <c r="A4598" s="22"/>
    </row>
    <row r="4599" spans="1:1">
      <c r="A4599" s="22"/>
    </row>
    <row r="4600" spans="1:1">
      <c r="A4600" s="22"/>
    </row>
    <row r="4601" spans="1:1">
      <c r="A4601" s="22"/>
    </row>
    <row r="4602" spans="1:1">
      <c r="A4602" s="22"/>
    </row>
    <row r="4603" spans="1:1">
      <c r="A4603" s="22"/>
    </row>
    <row r="4604" spans="1:1">
      <c r="A4604" s="22"/>
    </row>
    <row r="4605" spans="1:1">
      <c r="A4605" s="22"/>
    </row>
    <row r="4606" spans="1:1">
      <c r="A4606" s="22"/>
    </row>
    <row r="4607" spans="1:1">
      <c r="A4607" s="22"/>
    </row>
    <row r="4608" spans="1:1">
      <c r="A4608" s="22"/>
    </row>
    <row r="4609" spans="1:1">
      <c r="A4609" s="22"/>
    </row>
    <row r="4610" spans="1:1">
      <c r="A4610" s="22"/>
    </row>
    <row r="4611" spans="1:1">
      <c r="A4611" s="22"/>
    </row>
    <row r="4612" spans="1:1">
      <c r="A4612" s="22"/>
    </row>
    <row r="4613" spans="1:1">
      <c r="A4613" s="22"/>
    </row>
    <row r="4614" spans="1:1">
      <c r="A4614" s="22"/>
    </row>
    <row r="4615" spans="1:1">
      <c r="A4615" s="22"/>
    </row>
    <row r="4616" spans="1:1">
      <c r="A4616" s="22"/>
    </row>
    <row r="4617" spans="1:1">
      <c r="A4617" s="22"/>
    </row>
    <row r="4618" spans="1:1">
      <c r="A4618" s="22"/>
    </row>
    <row r="4619" spans="1:1">
      <c r="A4619" s="22"/>
    </row>
    <row r="4620" spans="1:1">
      <c r="A4620" s="22"/>
    </row>
    <row r="4621" spans="1:1">
      <c r="A4621" s="22"/>
    </row>
    <row r="4622" spans="1:1">
      <c r="A4622" s="22"/>
    </row>
    <row r="4623" spans="1:1">
      <c r="A4623" s="22"/>
    </row>
    <row r="4624" spans="1:1">
      <c r="A4624" s="22"/>
    </row>
    <row r="4625" spans="1:1">
      <c r="A4625" s="22"/>
    </row>
    <row r="4626" spans="1:1">
      <c r="A4626" s="22"/>
    </row>
    <row r="4627" spans="1:1">
      <c r="A4627" s="22"/>
    </row>
    <row r="4628" spans="1:1">
      <c r="A4628" s="22"/>
    </row>
    <row r="4629" spans="1:1">
      <c r="A4629" s="22"/>
    </row>
    <row r="4630" spans="1:1">
      <c r="A4630" s="22"/>
    </row>
    <row r="4631" spans="1:1">
      <c r="A4631" s="22"/>
    </row>
    <row r="4632" spans="1:1">
      <c r="A4632" s="22"/>
    </row>
    <row r="4633" spans="1:1">
      <c r="A4633" s="22"/>
    </row>
    <row r="4634" spans="1:1">
      <c r="A4634" s="22"/>
    </row>
    <row r="4635" spans="1:1">
      <c r="A4635" s="22"/>
    </row>
    <row r="4636" spans="1:1">
      <c r="A4636" s="22"/>
    </row>
    <row r="4637" spans="1:1">
      <c r="A4637" s="22"/>
    </row>
    <row r="4638" spans="1:1">
      <c r="A4638" s="22"/>
    </row>
    <row r="4639" spans="1:1">
      <c r="A4639" s="22"/>
    </row>
    <row r="4640" spans="1:1">
      <c r="A4640" s="22"/>
    </row>
    <row r="4641" spans="1:1">
      <c r="A4641" s="22"/>
    </row>
    <row r="4642" spans="1:1">
      <c r="A4642" s="22"/>
    </row>
    <row r="4643" spans="1:1">
      <c r="A4643" s="22"/>
    </row>
    <row r="4644" spans="1:1">
      <c r="A4644" s="22"/>
    </row>
    <row r="4645" spans="1:1">
      <c r="A4645" s="22"/>
    </row>
    <row r="4646" spans="1:1">
      <c r="A4646" s="22"/>
    </row>
    <row r="4647" spans="1:1">
      <c r="A4647" s="22"/>
    </row>
    <row r="4648" spans="1:1">
      <c r="A4648" s="22"/>
    </row>
    <row r="4649" spans="1:1">
      <c r="A4649" s="22"/>
    </row>
    <row r="4650" spans="1:1">
      <c r="A4650" s="22"/>
    </row>
    <row r="4651" spans="1:1">
      <c r="A4651" s="22"/>
    </row>
    <row r="4652" spans="1:1">
      <c r="A4652" s="22"/>
    </row>
    <row r="4653" spans="1:1">
      <c r="A4653" s="22"/>
    </row>
    <row r="4654" spans="1:1">
      <c r="A4654" s="22"/>
    </row>
    <row r="4655" spans="1:1">
      <c r="A4655" s="22"/>
    </row>
    <row r="4656" spans="1:1">
      <c r="A4656" s="22"/>
    </row>
    <row r="4657" spans="1:1">
      <c r="A4657" s="22"/>
    </row>
    <row r="4658" spans="1:1">
      <c r="A4658" s="22"/>
    </row>
    <row r="4659" spans="1:1">
      <c r="A4659" s="22"/>
    </row>
    <row r="4660" spans="1:1">
      <c r="A4660" s="22"/>
    </row>
    <row r="4661" spans="1:1">
      <c r="A4661" s="22"/>
    </row>
    <row r="4662" spans="1:1">
      <c r="A4662" s="22"/>
    </row>
    <row r="4663" spans="1:1">
      <c r="A4663" s="22"/>
    </row>
    <row r="4664" spans="1:1">
      <c r="A4664" s="22"/>
    </row>
    <row r="4665" spans="1:1">
      <c r="A4665" s="22"/>
    </row>
    <row r="4666" spans="1:1">
      <c r="A4666" s="22"/>
    </row>
    <row r="4667" spans="1:1">
      <c r="A4667" s="22"/>
    </row>
    <row r="4668" spans="1:1">
      <c r="A4668" s="22"/>
    </row>
    <row r="4669" spans="1:1">
      <c r="A4669" s="22"/>
    </row>
    <row r="4670" spans="1:1">
      <c r="A4670" s="22"/>
    </row>
    <row r="4671" spans="1:1">
      <c r="A4671" s="22"/>
    </row>
    <row r="4672" spans="1:1">
      <c r="A4672" s="22"/>
    </row>
    <row r="4673" spans="1:1">
      <c r="A4673" s="22"/>
    </row>
    <row r="4674" spans="1:1">
      <c r="A4674" s="22"/>
    </row>
    <row r="4675" spans="1:1">
      <c r="A4675" s="22"/>
    </row>
    <row r="4676" spans="1:1">
      <c r="A4676" s="22"/>
    </row>
    <row r="4677" spans="1:1">
      <c r="A4677" s="22"/>
    </row>
    <row r="4678" spans="1:1">
      <c r="A4678" s="22"/>
    </row>
    <row r="4679" spans="1:1">
      <c r="A4679" s="22"/>
    </row>
    <row r="4680" spans="1:1">
      <c r="A4680" s="22"/>
    </row>
    <row r="4681" spans="1:1">
      <c r="A4681" s="22"/>
    </row>
    <row r="4682" spans="1:1">
      <c r="A4682" s="22"/>
    </row>
    <row r="4683" spans="1:1">
      <c r="A4683" s="22"/>
    </row>
    <row r="4684" spans="1:1">
      <c r="A4684" s="22"/>
    </row>
    <row r="4685" spans="1:1">
      <c r="A4685" s="22"/>
    </row>
    <row r="4686" spans="1:1">
      <c r="A4686" s="22"/>
    </row>
    <row r="4687" spans="1:1">
      <c r="A4687" s="22"/>
    </row>
    <row r="4688" spans="1:1">
      <c r="A4688" s="22"/>
    </row>
    <row r="4689" spans="1:1">
      <c r="A4689" s="22"/>
    </row>
    <row r="4690" spans="1:1">
      <c r="A4690" s="22"/>
    </row>
    <row r="4691" spans="1:1">
      <c r="A4691" s="22"/>
    </row>
    <row r="4692" spans="1:1">
      <c r="A4692" s="22"/>
    </row>
    <row r="4693" spans="1:1">
      <c r="A4693" s="22"/>
    </row>
    <row r="4694" spans="1:1">
      <c r="A4694" s="22"/>
    </row>
    <row r="4695" spans="1:1">
      <c r="A4695" s="22"/>
    </row>
    <row r="4696" spans="1:1">
      <c r="A4696" s="22"/>
    </row>
    <row r="4697" spans="1:1">
      <c r="A4697" s="22"/>
    </row>
    <row r="4698" spans="1:1">
      <c r="A4698" s="22"/>
    </row>
    <row r="4699" spans="1:1">
      <c r="A4699" s="22"/>
    </row>
    <row r="4700" spans="1:1">
      <c r="A4700" s="22"/>
    </row>
    <row r="4701" spans="1:1">
      <c r="A4701" s="22"/>
    </row>
    <row r="4702" spans="1:1">
      <c r="A4702" s="22"/>
    </row>
    <row r="4703" spans="1:1">
      <c r="A4703" s="22"/>
    </row>
    <row r="4704" spans="1:1">
      <c r="A4704" s="22"/>
    </row>
    <row r="4705" spans="1:1">
      <c r="A4705" s="22"/>
    </row>
    <row r="4706" spans="1:1">
      <c r="A4706" s="22"/>
    </row>
    <row r="4707" spans="1:1">
      <c r="A4707" s="22"/>
    </row>
    <row r="4708" spans="1:1">
      <c r="A4708" s="22"/>
    </row>
    <row r="4709" spans="1:1">
      <c r="A4709" s="22"/>
    </row>
    <row r="4710" spans="1:1">
      <c r="A4710" s="22"/>
    </row>
    <row r="4711" spans="1:1">
      <c r="A4711" s="22"/>
    </row>
    <row r="4712" spans="1:1">
      <c r="A4712" s="22"/>
    </row>
    <row r="4713" spans="1:1">
      <c r="A4713" s="22"/>
    </row>
    <row r="4714" spans="1:1">
      <c r="A4714" s="22"/>
    </row>
    <row r="4715" spans="1:1">
      <c r="A4715" s="22"/>
    </row>
    <row r="4716" spans="1:1">
      <c r="A4716" s="22"/>
    </row>
    <row r="4717" spans="1:1">
      <c r="A4717" s="22"/>
    </row>
    <row r="4718" spans="1:1">
      <c r="A4718" s="22"/>
    </row>
    <row r="4719" spans="1:1">
      <c r="A4719" s="22"/>
    </row>
    <row r="4720" spans="1:1">
      <c r="A4720" s="22"/>
    </row>
    <row r="4721" spans="1:1">
      <c r="A4721" s="22"/>
    </row>
    <row r="4722" spans="1:1">
      <c r="A4722" s="22"/>
    </row>
    <row r="4723" spans="1:1">
      <c r="A4723" s="22"/>
    </row>
    <row r="4724" spans="1:1">
      <c r="A4724" s="22"/>
    </row>
    <row r="4725" spans="1:1">
      <c r="A4725" s="22"/>
    </row>
    <row r="4726" spans="1:1">
      <c r="A4726" s="22"/>
    </row>
    <row r="4727" spans="1:1">
      <c r="A4727" s="22"/>
    </row>
    <row r="4728" spans="1:1">
      <c r="A4728" s="22"/>
    </row>
    <row r="4729" spans="1:1">
      <c r="A4729" s="22"/>
    </row>
    <row r="4730" spans="1:1">
      <c r="A4730" s="22"/>
    </row>
    <row r="4731" spans="1:1">
      <c r="A4731" s="22"/>
    </row>
    <row r="4732" spans="1:1">
      <c r="A4732" s="22"/>
    </row>
    <row r="4733" spans="1:1">
      <c r="A4733" s="22"/>
    </row>
    <row r="4734" spans="1:1">
      <c r="A4734" s="22"/>
    </row>
    <row r="4735" spans="1:1">
      <c r="A4735" s="22"/>
    </row>
    <row r="4736" spans="1:1">
      <c r="A4736" s="22"/>
    </row>
    <row r="4737" spans="1:1">
      <c r="A4737" s="22"/>
    </row>
    <row r="4738" spans="1:1">
      <c r="A4738" s="22"/>
    </row>
    <row r="4739" spans="1:1">
      <c r="A4739" s="22"/>
    </row>
    <row r="4740" spans="1:1">
      <c r="A4740" s="22"/>
    </row>
    <row r="4741" spans="1:1">
      <c r="A4741" s="22"/>
    </row>
    <row r="4742" spans="1:1">
      <c r="A4742" s="22"/>
    </row>
    <row r="4743" spans="1:1">
      <c r="A4743" s="22"/>
    </row>
    <row r="4744" spans="1:1">
      <c r="A4744" s="22"/>
    </row>
    <row r="4745" spans="1:1">
      <c r="A4745" s="22"/>
    </row>
    <row r="4746" spans="1:1">
      <c r="A4746" s="22"/>
    </row>
    <row r="4747" spans="1:1">
      <c r="A4747" s="22"/>
    </row>
    <row r="4748" spans="1:1">
      <c r="A4748" s="22"/>
    </row>
    <row r="4749" spans="1:1">
      <c r="A4749" s="22"/>
    </row>
    <row r="4750" spans="1:1">
      <c r="A4750" s="22"/>
    </row>
    <row r="4751" spans="1:1">
      <c r="A4751" s="22"/>
    </row>
    <row r="4752" spans="1:1">
      <c r="A4752" s="22"/>
    </row>
    <row r="4753" spans="1:1">
      <c r="A4753" s="22"/>
    </row>
    <row r="4754" spans="1:1">
      <c r="A4754" s="22"/>
    </row>
    <row r="4755" spans="1:1">
      <c r="A4755" s="22"/>
    </row>
    <row r="4756" spans="1:1">
      <c r="A4756" s="22"/>
    </row>
    <row r="4757" spans="1:1">
      <c r="A4757" s="22"/>
    </row>
    <row r="4758" spans="1:1">
      <c r="A4758" s="22"/>
    </row>
    <row r="4759" spans="1:1">
      <c r="A4759" s="22"/>
    </row>
    <row r="4760" spans="1:1">
      <c r="A4760" s="22"/>
    </row>
    <row r="4761" spans="1:1">
      <c r="A4761" s="22"/>
    </row>
    <row r="4762" spans="1:1">
      <c r="A4762" s="22"/>
    </row>
    <row r="4763" spans="1:1">
      <c r="A4763" s="22"/>
    </row>
    <row r="4764" spans="1:1">
      <c r="A4764" s="22"/>
    </row>
    <row r="4765" spans="1:1">
      <c r="A4765" s="22"/>
    </row>
    <row r="4766" spans="1:1">
      <c r="A4766" s="22"/>
    </row>
    <row r="4767" spans="1:1">
      <c r="A4767" s="22"/>
    </row>
    <row r="4768" spans="1:1">
      <c r="A4768" s="22"/>
    </row>
    <row r="4769" spans="1:1">
      <c r="A4769" s="22"/>
    </row>
    <row r="4770" spans="1:1">
      <c r="A4770" s="22"/>
    </row>
    <row r="4771" spans="1:1">
      <c r="A4771" s="22"/>
    </row>
    <row r="4772" spans="1:1">
      <c r="A4772" s="22"/>
    </row>
    <row r="4773" spans="1:1">
      <c r="A4773" s="22"/>
    </row>
    <row r="4774" spans="1:1">
      <c r="A4774" s="22"/>
    </row>
    <row r="4775" spans="1:1">
      <c r="A4775" s="22"/>
    </row>
    <row r="4776" spans="1:1">
      <c r="A4776" s="22"/>
    </row>
    <row r="4777" spans="1:1">
      <c r="A4777" s="22"/>
    </row>
    <row r="4778" spans="1:1">
      <c r="A4778" s="22"/>
    </row>
    <row r="4779" spans="1:1">
      <c r="A4779" s="22"/>
    </row>
    <row r="4780" spans="1:1">
      <c r="A4780" s="22"/>
    </row>
    <row r="4781" spans="1:1">
      <c r="A4781" s="22"/>
    </row>
    <row r="4782" spans="1:1">
      <c r="A4782" s="22"/>
    </row>
    <row r="4783" spans="1:1">
      <c r="A4783" s="22"/>
    </row>
    <row r="4784" spans="1:1">
      <c r="A4784" s="22"/>
    </row>
    <row r="4785" spans="1:1">
      <c r="A4785" s="22"/>
    </row>
    <row r="4786" spans="1:1">
      <c r="A4786" s="22"/>
    </row>
    <row r="4787" spans="1:1">
      <c r="A4787" s="22"/>
    </row>
    <row r="4788" spans="1:1">
      <c r="A4788" s="22"/>
    </row>
    <row r="4789" spans="1:1">
      <c r="A4789" s="22"/>
    </row>
    <row r="4790" spans="1:1">
      <c r="A4790" s="22"/>
    </row>
    <row r="4791" spans="1:1">
      <c r="A4791" s="22"/>
    </row>
    <row r="4792" spans="1:1">
      <c r="A4792" s="22"/>
    </row>
    <row r="4793" spans="1:1">
      <c r="A4793" s="22"/>
    </row>
    <row r="4794" spans="1:1">
      <c r="A4794" s="22"/>
    </row>
    <row r="4795" spans="1:1">
      <c r="A4795" s="22"/>
    </row>
    <row r="4796" spans="1:1">
      <c r="A4796" s="22"/>
    </row>
    <row r="4797" spans="1:1">
      <c r="A4797" s="22"/>
    </row>
    <row r="4798" spans="1:1">
      <c r="A4798" s="22"/>
    </row>
    <row r="4799" spans="1:1">
      <c r="A4799" s="22"/>
    </row>
    <row r="4800" spans="1:1">
      <c r="A4800" s="22"/>
    </row>
    <row r="4801" spans="1:1">
      <c r="A4801" s="22"/>
    </row>
    <row r="4802" spans="1:1">
      <c r="A4802" s="22"/>
    </row>
    <row r="4803" spans="1:1">
      <c r="A4803" s="22"/>
    </row>
    <row r="4804" spans="1:1">
      <c r="A4804" s="22"/>
    </row>
    <row r="4805" spans="1:1">
      <c r="A4805" s="22"/>
    </row>
    <row r="4806" spans="1:1">
      <c r="A4806" s="22"/>
    </row>
    <row r="4807" spans="1:1">
      <c r="A4807" s="22"/>
    </row>
    <row r="4808" spans="1:1">
      <c r="A4808" s="22"/>
    </row>
    <row r="4809" spans="1:1">
      <c r="A4809" s="22"/>
    </row>
    <row r="4810" spans="1:1">
      <c r="A4810" s="22"/>
    </row>
    <row r="4811" spans="1:1">
      <c r="A4811" s="22"/>
    </row>
    <row r="4812" spans="1:1">
      <c r="A4812" s="22"/>
    </row>
    <row r="4813" spans="1:1">
      <c r="A4813" s="22"/>
    </row>
    <row r="4814" spans="1:1">
      <c r="A4814" s="22"/>
    </row>
    <row r="4815" spans="1:1">
      <c r="A4815" s="22"/>
    </row>
    <row r="4816" spans="1:1">
      <c r="A4816" s="22"/>
    </row>
    <row r="4817" spans="1:1">
      <c r="A4817" s="22"/>
    </row>
    <row r="4818" spans="1:1">
      <c r="A4818" s="22"/>
    </row>
    <row r="4819" spans="1:1">
      <c r="A4819" s="22"/>
    </row>
    <row r="4820" spans="1:1">
      <c r="A4820" s="22"/>
    </row>
    <row r="4821" spans="1:1">
      <c r="A4821" s="22"/>
    </row>
    <row r="4822" spans="1:1">
      <c r="A4822" s="22"/>
    </row>
    <row r="4823" spans="1:1">
      <c r="A4823" s="22"/>
    </row>
    <row r="4824" spans="1:1">
      <c r="A4824" s="22"/>
    </row>
    <row r="4825" spans="1:1">
      <c r="A4825" s="22"/>
    </row>
    <row r="4826" spans="1:1">
      <c r="A4826" s="22"/>
    </row>
    <row r="4827" spans="1:1">
      <c r="A4827" s="22"/>
    </row>
    <row r="4828" spans="1:1">
      <c r="A4828" s="22"/>
    </row>
    <row r="4829" spans="1:1">
      <c r="A4829" s="22"/>
    </row>
    <row r="4830" spans="1:1">
      <c r="A4830" s="22"/>
    </row>
    <row r="4831" spans="1:1">
      <c r="A4831" s="22"/>
    </row>
    <row r="4832" spans="1:1">
      <c r="A4832" s="22"/>
    </row>
    <row r="4833" spans="1:1">
      <c r="A4833" s="22"/>
    </row>
    <row r="4834" spans="1:1">
      <c r="A4834" s="22"/>
    </row>
    <row r="4835" spans="1:1">
      <c r="A4835" s="22"/>
    </row>
    <row r="4836" spans="1:1">
      <c r="A4836" s="22"/>
    </row>
    <row r="4837" spans="1:1">
      <c r="A4837" s="22"/>
    </row>
    <row r="4838" spans="1:1">
      <c r="A4838" s="22"/>
    </row>
    <row r="4839" spans="1:1">
      <c r="A4839" s="22"/>
    </row>
    <row r="4840" spans="1:1">
      <c r="A4840" s="22"/>
    </row>
    <row r="4841" spans="1:1">
      <c r="A4841" s="22"/>
    </row>
    <row r="4842" spans="1:1">
      <c r="A4842" s="22"/>
    </row>
    <row r="4843" spans="1:1">
      <c r="A4843" s="22"/>
    </row>
    <row r="4844" spans="1:1">
      <c r="A4844" s="22"/>
    </row>
    <row r="4845" spans="1:1">
      <c r="A4845" s="22"/>
    </row>
    <row r="4846" spans="1:1">
      <c r="A4846" s="22"/>
    </row>
    <row r="4847" spans="1:1">
      <c r="A4847" s="22"/>
    </row>
    <row r="4848" spans="1:1">
      <c r="A4848" s="22"/>
    </row>
    <row r="4849" spans="1:1">
      <c r="A4849" s="22"/>
    </row>
    <row r="4850" spans="1:1">
      <c r="A4850" s="22"/>
    </row>
    <row r="4851" spans="1:1">
      <c r="A4851" s="22"/>
    </row>
    <row r="4852" spans="1:1">
      <c r="A4852" s="22"/>
    </row>
    <row r="4853" spans="1:1">
      <c r="A4853" s="22"/>
    </row>
    <row r="4854" spans="1:1">
      <c r="A4854" s="22"/>
    </row>
    <row r="4855" spans="1:1">
      <c r="A4855" s="22"/>
    </row>
    <row r="4856" spans="1:1">
      <c r="A4856" s="22"/>
    </row>
    <row r="4857" spans="1:1">
      <c r="A4857" s="22"/>
    </row>
    <row r="4858" spans="1:1">
      <c r="A4858" s="22"/>
    </row>
    <row r="4859" spans="1:1">
      <c r="A4859" s="22"/>
    </row>
    <row r="4860" spans="1:1">
      <c r="A4860" s="22"/>
    </row>
    <row r="4861" spans="1:1">
      <c r="A4861" s="22"/>
    </row>
    <row r="4862" spans="1:1">
      <c r="A4862" s="22"/>
    </row>
    <row r="4863" spans="1:1">
      <c r="A4863" s="22"/>
    </row>
    <row r="4864" spans="1:1">
      <c r="A4864" s="22"/>
    </row>
    <row r="4865" spans="1:1">
      <c r="A4865" s="22"/>
    </row>
    <row r="4866" spans="1:1">
      <c r="A4866" s="22"/>
    </row>
    <row r="4867" spans="1:1">
      <c r="A4867" s="22"/>
    </row>
    <row r="4868" spans="1:1">
      <c r="A4868" s="22"/>
    </row>
    <row r="4869" spans="1:1">
      <c r="A4869" s="22"/>
    </row>
    <row r="4870" spans="1:1">
      <c r="A4870" s="22"/>
    </row>
    <row r="4871" spans="1:1">
      <c r="A4871" s="22"/>
    </row>
    <row r="4872" spans="1:1">
      <c r="A4872" s="22"/>
    </row>
    <row r="4873" spans="1:1">
      <c r="A4873" s="22"/>
    </row>
    <row r="4874" spans="1:1">
      <c r="A4874" s="22"/>
    </row>
    <row r="4875" spans="1:1">
      <c r="A4875" s="22"/>
    </row>
    <row r="4876" spans="1:1">
      <c r="A4876" s="22"/>
    </row>
    <row r="4877" spans="1:1">
      <c r="A4877" s="22"/>
    </row>
    <row r="4878" spans="1:1">
      <c r="A4878" s="22"/>
    </row>
    <row r="4879" spans="1:1">
      <c r="A4879" s="22"/>
    </row>
    <row r="4880" spans="1:1">
      <c r="A4880" s="22"/>
    </row>
    <row r="4881" spans="1:1">
      <c r="A4881" s="22"/>
    </row>
    <row r="4882" spans="1:1">
      <c r="A4882" s="22"/>
    </row>
    <row r="4883" spans="1:1">
      <c r="A4883" s="22"/>
    </row>
    <row r="4884" spans="1:1">
      <c r="A4884" s="22"/>
    </row>
    <row r="4885" spans="1:1">
      <c r="A4885" s="22"/>
    </row>
    <row r="4886" spans="1:1">
      <c r="A4886" s="22"/>
    </row>
    <row r="4887" spans="1:1">
      <c r="A4887" s="22"/>
    </row>
    <row r="4888" spans="1:1">
      <c r="A4888" s="22"/>
    </row>
    <row r="4889" spans="1:1">
      <c r="A4889" s="22"/>
    </row>
    <row r="4890" spans="1:1">
      <c r="A4890" s="22"/>
    </row>
    <row r="4891" spans="1:1">
      <c r="A4891" s="22"/>
    </row>
    <row r="4892" spans="1:1">
      <c r="A4892" s="22"/>
    </row>
    <row r="4893" spans="1:1">
      <c r="A4893" s="22"/>
    </row>
    <row r="4894" spans="1:1">
      <c r="A4894" s="22"/>
    </row>
    <row r="4895" spans="1:1">
      <c r="A4895" s="22"/>
    </row>
    <row r="4896" spans="1:1">
      <c r="A4896" s="22"/>
    </row>
    <row r="4897" spans="1:1">
      <c r="A4897" s="22"/>
    </row>
    <row r="4898" spans="1:1">
      <c r="A4898" s="22"/>
    </row>
    <row r="4899" spans="1:1">
      <c r="A4899" s="22"/>
    </row>
    <row r="4900" spans="1:1">
      <c r="A4900" s="22"/>
    </row>
    <row r="4901" spans="1:1">
      <c r="A4901" s="22"/>
    </row>
    <row r="4902" spans="1:1">
      <c r="A4902" s="22"/>
    </row>
    <row r="4903" spans="1:1">
      <c r="A4903" s="22"/>
    </row>
    <row r="4904" spans="1:1">
      <c r="A4904" s="22"/>
    </row>
    <row r="4905" spans="1:1">
      <c r="A4905" s="22"/>
    </row>
    <row r="4906" spans="1:1">
      <c r="A4906" s="22"/>
    </row>
    <row r="4907" spans="1:1">
      <c r="A4907" s="22"/>
    </row>
    <row r="4908" spans="1:1">
      <c r="A4908" s="22"/>
    </row>
    <row r="4909" spans="1:1">
      <c r="A4909" s="22"/>
    </row>
    <row r="4910" spans="1:1">
      <c r="A4910" s="22"/>
    </row>
    <row r="4911" spans="1:1">
      <c r="A4911" s="22"/>
    </row>
    <row r="4912" spans="1:1">
      <c r="A4912" s="22"/>
    </row>
    <row r="4913" spans="1:1">
      <c r="A4913" s="22"/>
    </row>
    <row r="4914" spans="1:1">
      <c r="A4914" s="22"/>
    </row>
    <row r="4915" spans="1:1">
      <c r="A4915" s="22"/>
    </row>
    <row r="4916" spans="1:1">
      <c r="A4916" s="22"/>
    </row>
    <row r="4917" spans="1:1">
      <c r="A4917" s="22"/>
    </row>
    <row r="4918" spans="1:1">
      <c r="A4918" s="22"/>
    </row>
    <row r="4919" spans="1:1">
      <c r="A4919" s="22"/>
    </row>
    <row r="4920" spans="1:1">
      <c r="A4920" s="22"/>
    </row>
    <row r="4921" spans="1:1">
      <c r="A4921" s="22"/>
    </row>
    <row r="4922" spans="1:1">
      <c r="A4922" s="22"/>
    </row>
    <row r="4923" spans="1:1">
      <c r="A4923" s="22"/>
    </row>
    <row r="4924" spans="1:1">
      <c r="A4924" s="22"/>
    </row>
    <row r="4925" spans="1:1">
      <c r="A4925" s="22"/>
    </row>
    <row r="4926" spans="1:1">
      <c r="A4926" s="22"/>
    </row>
    <row r="4927" spans="1:1">
      <c r="A4927" s="22"/>
    </row>
    <row r="4928" spans="1:1">
      <c r="A4928" s="22"/>
    </row>
    <row r="4929" spans="1:1">
      <c r="A4929" s="22"/>
    </row>
    <row r="4930" spans="1:1">
      <c r="A4930" s="22"/>
    </row>
    <row r="4931" spans="1:1">
      <c r="A4931" s="22"/>
    </row>
    <row r="4932" spans="1:1">
      <c r="A4932" s="22"/>
    </row>
    <row r="4933" spans="1:1">
      <c r="A4933" s="22"/>
    </row>
    <row r="4934" spans="1:1">
      <c r="A4934" s="22"/>
    </row>
    <row r="4935" spans="1:1">
      <c r="A4935" s="22"/>
    </row>
    <row r="4936" spans="1:1">
      <c r="A4936" s="22"/>
    </row>
    <row r="4937" spans="1:1">
      <c r="A4937" s="22"/>
    </row>
    <row r="4938" spans="1:1">
      <c r="A4938" s="22"/>
    </row>
    <row r="4939" spans="1:1">
      <c r="A4939" s="22"/>
    </row>
    <row r="4940" spans="1:1">
      <c r="A4940" s="22"/>
    </row>
    <row r="4941" spans="1:1">
      <c r="A4941" s="22"/>
    </row>
    <row r="4942" spans="1:1">
      <c r="A4942" s="22"/>
    </row>
    <row r="4943" spans="1:1">
      <c r="A4943" s="22"/>
    </row>
    <row r="4944" spans="1:1">
      <c r="A4944" s="22"/>
    </row>
    <row r="4945" spans="1:1">
      <c r="A4945" s="22"/>
    </row>
    <row r="4946" spans="1:1">
      <c r="A4946" s="22"/>
    </row>
    <row r="4947" spans="1:1">
      <c r="A4947" s="22"/>
    </row>
    <row r="4948" spans="1:1">
      <c r="A4948" s="22"/>
    </row>
    <row r="4949" spans="1:1">
      <c r="A4949" s="22"/>
    </row>
    <row r="4950" spans="1:1">
      <c r="A4950" s="22"/>
    </row>
    <row r="4951" spans="1:1">
      <c r="A4951" s="22"/>
    </row>
    <row r="4952" spans="1:1">
      <c r="A4952" s="22"/>
    </row>
    <row r="4953" spans="1:1">
      <c r="A4953" s="22"/>
    </row>
    <row r="4954" spans="1:1">
      <c r="A4954" s="22"/>
    </row>
    <row r="4955" spans="1:1">
      <c r="A4955" s="22"/>
    </row>
    <row r="4956" spans="1:1">
      <c r="A4956" s="22"/>
    </row>
    <row r="4957" spans="1:1">
      <c r="A4957" s="22"/>
    </row>
    <row r="4958" spans="1:1">
      <c r="A4958" s="22"/>
    </row>
    <row r="4959" spans="1:1">
      <c r="A4959" s="22"/>
    </row>
    <row r="4960" spans="1:1">
      <c r="A4960" s="22"/>
    </row>
    <row r="4961" spans="1:1">
      <c r="A4961" s="22"/>
    </row>
    <row r="4962" spans="1:1">
      <c r="A4962" s="22"/>
    </row>
    <row r="4963" spans="1:1">
      <c r="A4963" s="22"/>
    </row>
    <row r="4964" spans="1:1">
      <c r="A4964" s="22"/>
    </row>
    <row r="4965" spans="1:1">
      <c r="A4965" s="22"/>
    </row>
    <row r="4966" spans="1:1">
      <c r="A4966" s="22"/>
    </row>
    <row r="4967" spans="1:1">
      <c r="A4967" s="22"/>
    </row>
    <row r="4968" spans="1:1">
      <c r="A4968" s="22"/>
    </row>
    <row r="4969" spans="1:1">
      <c r="A4969" s="22"/>
    </row>
    <row r="4970" spans="1:1">
      <c r="A4970" s="22"/>
    </row>
    <row r="4971" spans="1:1">
      <c r="A4971" s="22"/>
    </row>
    <row r="4972" spans="1:1">
      <c r="A4972" s="22"/>
    </row>
    <row r="4973" spans="1:1">
      <c r="A4973" s="22"/>
    </row>
    <row r="4974" spans="1:1">
      <c r="A4974" s="22"/>
    </row>
    <row r="4975" spans="1:1">
      <c r="A4975" s="22"/>
    </row>
    <row r="4976" spans="1:1">
      <c r="A4976" s="22"/>
    </row>
    <row r="4977" spans="1:1">
      <c r="A4977" s="22"/>
    </row>
    <row r="4978" spans="1:1">
      <c r="A4978" s="22"/>
    </row>
    <row r="4979" spans="1:1">
      <c r="A4979" s="22"/>
    </row>
    <row r="4980" spans="1:1">
      <c r="A4980" s="22"/>
    </row>
    <row r="4981" spans="1:1">
      <c r="A4981" s="22"/>
    </row>
    <row r="4982" spans="1:1">
      <c r="A4982" s="22"/>
    </row>
    <row r="4983" spans="1:1">
      <c r="A4983" s="22"/>
    </row>
    <row r="4984" spans="1:1">
      <c r="A4984" s="22"/>
    </row>
    <row r="4985" spans="1:1">
      <c r="A4985" s="22"/>
    </row>
    <row r="4986" spans="1:1">
      <c r="A4986" s="22"/>
    </row>
    <row r="4987" spans="1:1">
      <c r="A4987" s="22"/>
    </row>
    <row r="4988" spans="1:1">
      <c r="A4988" s="22"/>
    </row>
    <row r="4989" spans="1:1">
      <c r="A4989" s="22"/>
    </row>
    <row r="4990" spans="1:1">
      <c r="A4990" s="22"/>
    </row>
    <row r="4991" spans="1:1">
      <c r="A4991" s="22"/>
    </row>
    <row r="4992" spans="1:1">
      <c r="A4992" s="22"/>
    </row>
    <row r="4993" spans="1:1">
      <c r="A4993" s="22"/>
    </row>
    <row r="4994" spans="1:1">
      <c r="A4994" s="22"/>
    </row>
    <row r="4995" spans="1:1">
      <c r="A4995" s="22"/>
    </row>
    <row r="4996" spans="1:1">
      <c r="A4996" s="22"/>
    </row>
    <row r="4997" spans="1:1">
      <c r="A4997" s="22"/>
    </row>
    <row r="4998" spans="1:1">
      <c r="A4998" s="22"/>
    </row>
    <row r="4999" spans="1:1">
      <c r="A4999" s="22"/>
    </row>
    <row r="5000" spans="1:1">
      <c r="A5000" s="22"/>
    </row>
    <row r="5001" spans="1:1">
      <c r="A5001" s="22"/>
    </row>
    <row r="5002" spans="1:1">
      <c r="A5002" s="22"/>
    </row>
    <row r="5003" spans="1:1">
      <c r="A5003" s="22"/>
    </row>
    <row r="5004" spans="1:1">
      <c r="A5004" s="22"/>
    </row>
    <row r="5005" spans="1:1">
      <c r="A5005" s="22"/>
    </row>
    <row r="5006" spans="1:1">
      <c r="A5006" s="22"/>
    </row>
    <row r="5007" spans="1:1">
      <c r="A5007" s="22"/>
    </row>
    <row r="5008" spans="1:1">
      <c r="A5008" s="22"/>
    </row>
    <row r="5009" spans="1:1">
      <c r="A5009" s="22"/>
    </row>
    <row r="5010" spans="1:1">
      <c r="A5010" s="22"/>
    </row>
    <row r="5011" spans="1:1">
      <c r="A5011" s="22"/>
    </row>
    <row r="5012" spans="1:1">
      <c r="A5012" s="22"/>
    </row>
    <row r="5013" spans="1:1">
      <c r="A5013" s="22"/>
    </row>
    <row r="5014" spans="1:1">
      <c r="A5014" s="22"/>
    </row>
    <row r="5015" spans="1:1">
      <c r="A5015" s="22"/>
    </row>
    <row r="5016" spans="1:1">
      <c r="A5016" s="22"/>
    </row>
    <row r="5017" spans="1:1">
      <c r="A5017" s="22"/>
    </row>
    <row r="5018" spans="1:1">
      <c r="A5018" s="22"/>
    </row>
    <row r="5019" spans="1:1">
      <c r="A5019" s="22"/>
    </row>
    <row r="5020" spans="1:1">
      <c r="A5020" s="22"/>
    </row>
    <row r="5021" spans="1:1">
      <c r="A5021" s="22"/>
    </row>
    <row r="5022" spans="1:1">
      <c r="A5022" s="22"/>
    </row>
    <row r="5023" spans="1:1">
      <c r="A5023" s="22"/>
    </row>
    <row r="5024" spans="1:1">
      <c r="A5024" s="22"/>
    </row>
    <row r="5025" spans="1:1">
      <c r="A5025" s="22"/>
    </row>
    <row r="5026" spans="1:1">
      <c r="A5026" s="22"/>
    </row>
    <row r="5027" spans="1:1">
      <c r="A5027" s="22"/>
    </row>
    <row r="5028" spans="1:1">
      <c r="A5028" s="22"/>
    </row>
    <row r="5029" spans="1:1">
      <c r="A5029" s="22"/>
    </row>
    <row r="5030" spans="1:1">
      <c r="A5030" s="22"/>
    </row>
    <row r="5031" spans="1:1">
      <c r="A5031" s="22"/>
    </row>
    <row r="5032" spans="1:1">
      <c r="A5032" s="22"/>
    </row>
    <row r="5033" spans="1:1">
      <c r="A5033" s="22"/>
    </row>
    <row r="5034" spans="1:1">
      <c r="A5034" s="22"/>
    </row>
    <row r="5035" spans="1:1">
      <c r="A5035" s="22"/>
    </row>
    <row r="5036" spans="1:1">
      <c r="A5036" s="22"/>
    </row>
    <row r="5037" spans="1:1">
      <c r="A5037" s="22"/>
    </row>
    <row r="5038" spans="1:1">
      <c r="A5038" s="22"/>
    </row>
    <row r="5039" spans="1:1">
      <c r="A5039" s="22"/>
    </row>
    <row r="5040" spans="1:1">
      <c r="A5040" s="22"/>
    </row>
    <row r="5041" spans="1:1">
      <c r="A5041" s="22"/>
    </row>
    <row r="5042" spans="1:1">
      <c r="A5042" s="22"/>
    </row>
    <row r="5043" spans="1:1">
      <c r="A5043" s="22"/>
    </row>
    <row r="5044" spans="1:1">
      <c r="A5044" s="22"/>
    </row>
    <row r="5045" spans="1:1">
      <c r="A5045" s="22"/>
    </row>
    <row r="5046" spans="1:1">
      <c r="A5046" s="22"/>
    </row>
    <row r="5047" spans="1:1">
      <c r="A5047" s="22"/>
    </row>
    <row r="5048" spans="1:1">
      <c r="A5048" s="22"/>
    </row>
    <row r="5049" spans="1:1">
      <c r="A5049" s="22"/>
    </row>
    <row r="5050" spans="1:1">
      <c r="A5050" s="22"/>
    </row>
    <row r="5051" spans="1:1">
      <c r="A5051" s="22"/>
    </row>
    <row r="5052" spans="1:1">
      <c r="A5052" s="22"/>
    </row>
    <row r="5053" spans="1:1">
      <c r="A5053" s="22"/>
    </row>
    <row r="5054" spans="1:1">
      <c r="A5054" s="22"/>
    </row>
    <row r="5055" spans="1:1">
      <c r="A5055" s="22"/>
    </row>
    <row r="5056" spans="1:1">
      <c r="A5056" s="22"/>
    </row>
    <row r="5057" spans="1:1">
      <c r="A5057" s="22"/>
    </row>
    <row r="5058" spans="1:1">
      <c r="A5058" s="22"/>
    </row>
    <row r="5059" spans="1:1">
      <c r="A5059" s="22"/>
    </row>
    <row r="5060" spans="1:1">
      <c r="A5060" s="22"/>
    </row>
    <row r="5061" spans="1:1">
      <c r="A5061" s="22"/>
    </row>
    <row r="5062" spans="1:1">
      <c r="A5062" s="22"/>
    </row>
    <row r="5063" spans="1:1">
      <c r="A5063" s="22"/>
    </row>
    <row r="5064" spans="1:1">
      <c r="A5064" s="22"/>
    </row>
    <row r="5065" spans="1:1">
      <c r="A5065" s="22"/>
    </row>
    <row r="5066" spans="1:1">
      <c r="A5066" s="22"/>
    </row>
    <row r="5067" spans="1:1">
      <c r="A5067" s="22"/>
    </row>
    <row r="5068" spans="1:1">
      <c r="A5068" s="22"/>
    </row>
    <row r="5069" spans="1:1">
      <c r="A5069" s="22"/>
    </row>
    <row r="5070" spans="1:1">
      <c r="A5070" s="22"/>
    </row>
    <row r="5071" spans="1:1">
      <c r="A5071" s="22"/>
    </row>
    <row r="5072" spans="1:1">
      <c r="A5072" s="22"/>
    </row>
    <row r="5073" spans="1:1">
      <c r="A5073" s="22"/>
    </row>
    <row r="5074" spans="1:1">
      <c r="A5074" s="22"/>
    </row>
    <row r="5075" spans="1:1">
      <c r="A5075" s="22"/>
    </row>
    <row r="5076" spans="1:1">
      <c r="A5076" s="22"/>
    </row>
    <row r="5077" spans="1:1">
      <c r="A5077" s="22"/>
    </row>
    <row r="5078" spans="1:1">
      <c r="A5078" s="22"/>
    </row>
    <row r="5079" spans="1:1">
      <c r="A5079" s="22"/>
    </row>
    <row r="5080" spans="1:1">
      <c r="A5080" s="22"/>
    </row>
    <row r="5081" spans="1:1">
      <c r="A5081" s="22"/>
    </row>
    <row r="5082" spans="1:1">
      <c r="A5082" s="22"/>
    </row>
    <row r="5083" spans="1:1">
      <c r="A5083" s="22"/>
    </row>
    <row r="5084" spans="1:1">
      <c r="A5084" s="22"/>
    </row>
    <row r="5085" spans="1:1">
      <c r="A5085" s="22"/>
    </row>
    <row r="5086" spans="1:1">
      <c r="A5086" s="22"/>
    </row>
    <row r="5087" spans="1:1">
      <c r="A5087" s="22"/>
    </row>
    <row r="5088" spans="1:1">
      <c r="A5088" s="22"/>
    </row>
    <row r="5089" spans="1:1">
      <c r="A5089" s="22"/>
    </row>
    <row r="5090" spans="1:1">
      <c r="A5090" s="22"/>
    </row>
    <row r="5091" spans="1:1">
      <c r="A5091" s="22"/>
    </row>
    <row r="5092" spans="1:1">
      <c r="A5092" s="22"/>
    </row>
    <row r="5093" spans="1:1">
      <c r="A5093" s="22"/>
    </row>
    <row r="5094" spans="1:1">
      <c r="A5094" s="22"/>
    </row>
    <row r="5095" spans="1:1">
      <c r="A5095" s="22"/>
    </row>
    <row r="5096" spans="1:1">
      <c r="A5096" s="22"/>
    </row>
    <row r="5097" spans="1:1">
      <c r="A5097" s="22"/>
    </row>
    <row r="5098" spans="1:1">
      <c r="A5098" s="22"/>
    </row>
    <row r="5099" spans="1:1">
      <c r="A5099" s="22"/>
    </row>
    <row r="5100" spans="1:1">
      <c r="A5100" s="22"/>
    </row>
    <row r="5101" spans="1:1">
      <c r="A5101" s="22"/>
    </row>
    <row r="5102" spans="1:1">
      <c r="A5102" s="22"/>
    </row>
    <row r="5103" spans="1:1">
      <c r="A5103" s="22"/>
    </row>
    <row r="5104" spans="1:1">
      <c r="A5104" s="22"/>
    </row>
    <row r="5105" spans="1:1">
      <c r="A5105" s="22"/>
    </row>
    <row r="5106" spans="1:1">
      <c r="A5106" s="22"/>
    </row>
    <row r="5107" spans="1:1">
      <c r="A5107" s="22"/>
    </row>
    <row r="5108" spans="1:1">
      <c r="A5108" s="22"/>
    </row>
    <row r="5109" spans="1:1">
      <c r="A5109" s="22"/>
    </row>
    <row r="5110" spans="1:1">
      <c r="A5110" s="22"/>
    </row>
    <row r="5111" spans="1:1">
      <c r="A5111" s="22"/>
    </row>
    <row r="5112" spans="1:1">
      <c r="A5112" s="22"/>
    </row>
    <row r="5113" spans="1:1">
      <c r="A5113" s="22"/>
    </row>
    <row r="5114" spans="1:1">
      <c r="A5114" s="22"/>
    </row>
    <row r="5115" spans="1:1">
      <c r="A5115" s="22"/>
    </row>
    <row r="5116" spans="1:1">
      <c r="A5116" s="22"/>
    </row>
    <row r="5117" spans="1:1">
      <c r="A5117" s="22"/>
    </row>
    <row r="5118" spans="1:1">
      <c r="A5118" s="22"/>
    </row>
    <row r="5119" spans="1:1">
      <c r="A5119" s="22"/>
    </row>
    <row r="5120" spans="1:1">
      <c r="A5120" s="22"/>
    </row>
    <row r="5121" spans="1:1">
      <c r="A5121" s="22"/>
    </row>
    <row r="5122" spans="1:1">
      <c r="A5122" s="22"/>
    </row>
    <row r="5123" spans="1:1">
      <c r="A5123" s="22"/>
    </row>
    <row r="5124" spans="1:1">
      <c r="A5124" s="22"/>
    </row>
    <row r="5125" spans="1:1">
      <c r="A5125" s="22"/>
    </row>
    <row r="5126" spans="1:1">
      <c r="A5126" s="22"/>
    </row>
    <row r="5127" spans="1:1">
      <c r="A5127" s="22"/>
    </row>
    <row r="5128" spans="1:1">
      <c r="A5128" s="22"/>
    </row>
    <row r="5129" spans="1:1">
      <c r="A5129" s="22"/>
    </row>
    <row r="5130" spans="1:1">
      <c r="A5130" s="22"/>
    </row>
    <row r="5131" spans="1:1">
      <c r="A5131" s="22"/>
    </row>
    <row r="5132" spans="1:1">
      <c r="A5132" s="22"/>
    </row>
    <row r="5133" spans="1:1">
      <c r="A5133" s="22"/>
    </row>
    <row r="5134" spans="1:1">
      <c r="A5134" s="22"/>
    </row>
    <row r="5135" spans="1:1">
      <c r="A5135" s="22"/>
    </row>
    <row r="5136" spans="1:1">
      <c r="A5136" s="22"/>
    </row>
    <row r="5137" spans="1:1">
      <c r="A5137" s="22"/>
    </row>
    <row r="5138" spans="1:1">
      <c r="A5138" s="22"/>
    </row>
    <row r="5139" spans="1:1">
      <c r="A5139" s="22"/>
    </row>
    <row r="5140" spans="1:1">
      <c r="A5140" s="22"/>
    </row>
    <row r="5141" spans="1:1">
      <c r="A5141" s="22"/>
    </row>
    <row r="5142" spans="1:1">
      <c r="A5142" s="22"/>
    </row>
    <row r="5143" spans="1:1">
      <c r="A5143" s="22"/>
    </row>
    <row r="5144" spans="1:1">
      <c r="A5144" s="22"/>
    </row>
    <row r="5145" spans="1:1">
      <c r="A5145" s="22"/>
    </row>
    <row r="5146" spans="1:1">
      <c r="A5146" s="22"/>
    </row>
    <row r="5147" spans="1:1">
      <c r="A5147" s="22"/>
    </row>
    <row r="5148" spans="1:1">
      <c r="A5148" s="22"/>
    </row>
    <row r="5149" spans="1:1">
      <c r="A5149" s="22"/>
    </row>
    <row r="5150" spans="1:1">
      <c r="A5150" s="22"/>
    </row>
    <row r="5151" spans="1:1">
      <c r="A5151" s="22"/>
    </row>
    <row r="5152" spans="1:1">
      <c r="A5152" s="22"/>
    </row>
    <row r="5153" spans="1:1">
      <c r="A5153" s="22"/>
    </row>
    <row r="5154" spans="1:1">
      <c r="A5154" s="22"/>
    </row>
    <row r="5155" spans="1:1">
      <c r="A5155" s="22"/>
    </row>
    <row r="5156" spans="1:1">
      <c r="A5156" s="22"/>
    </row>
    <row r="5157" spans="1:1">
      <c r="A5157" s="22"/>
    </row>
    <row r="5158" spans="1:1">
      <c r="A5158" s="22"/>
    </row>
    <row r="5159" spans="1:1">
      <c r="A5159" s="22"/>
    </row>
    <row r="5160" spans="1:1">
      <c r="A5160" s="22"/>
    </row>
    <row r="5161" spans="1:1">
      <c r="A5161" s="22"/>
    </row>
    <row r="5162" spans="1:1">
      <c r="A5162" s="22"/>
    </row>
    <row r="5163" spans="1:1">
      <c r="A5163" s="22"/>
    </row>
    <row r="5164" spans="1:1">
      <c r="A5164" s="22"/>
    </row>
    <row r="5165" spans="1:1">
      <c r="A5165" s="22"/>
    </row>
    <row r="5166" spans="1:1">
      <c r="A5166" s="22"/>
    </row>
    <row r="5167" spans="1:1">
      <c r="A5167" s="22"/>
    </row>
    <row r="5168" spans="1:1">
      <c r="A5168" s="22"/>
    </row>
    <row r="5169" spans="1:1">
      <c r="A5169" s="22"/>
    </row>
    <row r="5170" spans="1:1">
      <c r="A5170" s="22"/>
    </row>
    <row r="5171" spans="1:1">
      <c r="A5171" s="22"/>
    </row>
    <row r="5172" spans="1:1">
      <c r="A5172" s="22"/>
    </row>
    <row r="5173" spans="1:1">
      <c r="A5173" s="22"/>
    </row>
    <row r="5174" spans="1:1">
      <c r="A5174" s="22"/>
    </row>
    <row r="5175" spans="1:1">
      <c r="A5175" s="22"/>
    </row>
    <row r="5176" spans="1:1">
      <c r="A5176" s="22"/>
    </row>
    <row r="5177" spans="1:1">
      <c r="A5177" s="22"/>
    </row>
    <row r="5178" spans="1:1">
      <c r="A5178" s="22"/>
    </row>
    <row r="5179" spans="1:1">
      <c r="A5179" s="22"/>
    </row>
    <row r="5180" spans="1:1">
      <c r="A5180" s="22"/>
    </row>
    <row r="5181" spans="1:1">
      <c r="A5181" s="22"/>
    </row>
    <row r="5182" spans="1:1">
      <c r="A5182" s="22"/>
    </row>
    <row r="5183" spans="1:1">
      <c r="A5183" s="22"/>
    </row>
    <row r="5184" spans="1:1">
      <c r="A5184" s="22"/>
    </row>
    <row r="5185" spans="1:1">
      <c r="A5185" s="22"/>
    </row>
    <row r="5186" spans="1:1">
      <c r="A5186" s="22"/>
    </row>
    <row r="5187" spans="1:1">
      <c r="A5187" s="22"/>
    </row>
    <row r="5188" spans="1:1">
      <c r="A5188" s="22"/>
    </row>
    <row r="5189" spans="1:1">
      <c r="A5189" s="22"/>
    </row>
    <row r="5190" spans="1:1">
      <c r="A5190" s="22"/>
    </row>
    <row r="5191" spans="1:1">
      <c r="A5191" s="22"/>
    </row>
    <row r="5192" spans="1:1">
      <c r="A5192" s="22"/>
    </row>
    <row r="5193" spans="1:1">
      <c r="A5193" s="22"/>
    </row>
    <row r="5194" spans="1:1">
      <c r="A5194" s="22"/>
    </row>
    <row r="5195" spans="1:1">
      <c r="A5195" s="22"/>
    </row>
    <row r="5196" spans="1:1">
      <c r="A5196" s="22"/>
    </row>
    <row r="5197" spans="1:1">
      <c r="A5197" s="22"/>
    </row>
    <row r="5198" spans="1:1">
      <c r="A5198" s="22"/>
    </row>
    <row r="5199" spans="1:1">
      <c r="A5199" s="22"/>
    </row>
    <row r="5200" spans="1:1">
      <c r="A5200" s="22"/>
    </row>
    <row r="5201" spans="1:1">
      <c r="A5201" s="22"/>
    </row>
    <row r="5202" spans="1:1">
      <c r="A5202" s="22"/>
    </row>
    <row r="5203" spans="1:1">
      <c r="A5203" s="22"/>
    </row>
    <row r="5204" spans="1:1">
      <c r="A5204" s="22"/>
    </row>
    <row r="5205" spans="1:1">
      <c r="A5205" s="22"/>
    </row>
    <row r="5206" spans="1:1">
      <c r="A5206" s="22"/>
    </row>
    <row r="5207" spans="1:1">
      <c r="A5207" s="22"/>
    </row>
    <row r="5208" spans="1:1">
      <c r="A5208" s="22"/>
    </row>
    <row r="5209" spans="1:1">
      <c r="A5209" s="22"/>
    </row>
    <row r="5210" spans="1:1">
      <c r="A5210" s="22"/>
    </row>
    <row r="5211" spans="1:1">
      <c r="A5211" s="22"/>
    </row>
    <row r="5212" spans="1:1">
      <c r="A5212" s="22"/>
    </row>
    <row r="5213" spans="1:1">
      <c r="A5213" s="22"/>
    </row>
    <row r="5214" spans="1:1">
      <c r="A5214" s="22"/>
    </row>
    <row r="5215" spans="1:1">
      <c r="A5215" s="22"/>
    </row>
    <row r="5216" spans="1:1">
      <c r="A5216" s="22"/>
    </row>
    <row r="5217" spans="1:1">
      <c r="A5217" s="22"/>
    </row>
    <row r="5218" spans="1:1">
      <c r="A5218" s="22"/>
    </row>
    <row r="5219" spans="1:1">
      <c r="A5219" s="22"/>
    </row>
    <row r="5220" spans="1:1">
      <c r="A5220" s="22"/>
    </row>
    <row r="5221" spans="1:1">
      <c r="A5221" s="22"/>
    </row>
    <row r="5222" spans="1:1">
      <c r="A5222" s="22"/>
    </row>
    <row r="5223" spans="1:1">
      <c r="A5223" s="22"/>
    </row>
    <row r="5224" spans="1:1">
      <c r="A5224" s="22"/>
    </row>
    <row r="5225" spans="1:1">
      <c r="A5225" s="22"/>
    </row>
    <row r="5226" spans="1:1">
      <c r="A5226" s="22"/>
    </row>
    <row r="5227" spans="1:1">
      <c r="A5227" s="22"/>
    </row>
    <row r="5228" spans="1:1">
      <c r="A5228" s="22"/>
    </row>
    <row r="5229" spans="1:1">
      <c r="A5229" s="22"/>
    </row>
    <row r="5230" spans="1:1">
      <c r="A5230" s="22"/>
    </row>
    <row r="5231" spans="1:1">
      <c r="A5231" s="22"/>
    </row>
    <row r="5232" spans="1:1">
      <c r="A5232" s="22"/>
    </row>
    <row r="5233" spans="1:1">
      <c r="A5233" s="22"/>
    </row>
    <row r="5234" spans="1:1">
      <c r="A5234" s="22"/>
    </row>
    <row r="5235" spans="1:1">
      <c r="A5235" s="22"/>
    </row>
    <row r="5236" spans="1:1">
      <c r="A5236" s="22"/>
    </row>
    <row r="5237" spans="1:1">
      <c r="A5237" s="22"/>
    </row>
    <row r="5238" spans="1:1">
      <c r="A5238" s="22"/>
    </row>
    <row r="5239" spans="1:1">
      <c r="A5239" s="22"/>
    </row>
    <row r="5240" spans="1:1">
      <c r="A5240" s="22"/>
    </row>
    <row r="5241" spans="1:1">
      <c r="A5241" s="22"/>
    </row>
    <row r="5242" spans="1:1">
      <c r="A5242" s="22"/>
    </row>
    <row r="5243" spans="1:1">
      <c r="A5243" s="22"/>
    </row>
    <row r="5244" spans="1:1">
      <c r="A5244" s="22"/>
    </row>
    <row r="5245" spans="1:1">
      <c r="A5245" s="22"/>
    </row>
    <row r="5246" spans="1:1">
      <c r="A5246" s="22"/>
    </row>
    <row r="5247" spans="1:1">
      <c r="A5247" s="22"/>
    </row>
    <row r="5248" spans="1:1">
      <c r="A5248" s="22"/>
    </row>
    <row r="5249" spans="1:1">
      <c r="A5249" s="22"/>
    </row>
    <row r="5250" spans="1:1">
      <c r="A5250" s="22"/>
    </row>
    <row r="5251" spans="1:1">
      <c r="A5251" s="22"/>
    </row>
    <row r="5252" spans="1:1">
      <c r="A5252" s="22"/>
    </row>
    <row r="5253" spans="1:1">
      <c r="A5253" s="22"/>
    </row>
    <row r="5254" spans="1:1">
      <c r="A5254" s="22"/>
    </row>
    <row r="5255" spans="1:1">
      <c r="A5255" s="22"/>
    </row>
    <row r="5256" spans="1:1">
      <c r="A5256" s="22"/>
    </row>
    <row r="5257" spans="1:1">
      <c r="A5257" s="22"/>
    </row>
    <row r="5258" spans="1:1">
      <c r="A5258" s="22"/>
    </row>
    <row r="5259" spans="1:1">
      <c r="A5259" s="22"/>
    </row>
    <row r="5260" spans="1:1">
      <c r="A5260" s="22"/>
    </row>
    <row r="5261" spans="1:1">
      <c r="A5261" s="22"/>
    </row>
    <row r="5262" spans="1:1">
      <c r="A5262" s="22"/>
    </row>
    <row r="5263" spans="1:1">
      <c r="A5263" s="22"/>
    </row>
    <row r="5264" spans="1:1">
      <c r="A5264" s="22"/>
    </row>
    <row r="5265" spans="1:1">
      <c r="A5265" s="22"/>
    </row>
    <row r="5266" spans="1:1">
      <c r="A5266" s="22"/>
    </row>
    <row r="5267" spans="1:1">
      <c r="A5267" s="22"/>
    </row>
    <row r="5268" spans="1:1">
      <c r="A5268" s="22"/>
    </row>
    <row r="5269" spans="1:1">
      <c r="A5269" s="22"/>
    </row>
    <row r="5270" spans="1:1">
      <c r="A5270" s="22"/>
    </row>
    <row r="5271" spans="1:1">
      <c r="A5271" s="22"/>
    </row>
    <row r="5272" spans="1:1">
      <c r="A5272" s="22"/>
    </row>
    <row r="5273" spans="1:1">
      <c r="A5273" s="22"/>
    </row>
    <row r="5274" spans="1:1">
      <c r="A5274" s="22"/>
    </row>
    <row r="5275" spans="1:1">
      <c r="A5275" s="22"/>
    </row>
    <row r="5276" spans="1:1">
      <c r="A5276" s="22"/>
    </row>
    <row r="5277" spans="1:1">
      <c r="A5277" s="22"/>
    </row>
    <row r="5278" spans="1:1">
      <c r="A5278" s="22"/>
    </row>
    <row r="5279" spans="1:1">
      <c r="A5279" s="22"/>
    </row>
    <row r="5280" spans="1:1">
      <c r="A5280" s="22"/>
    </row>
    <row r="5281" spans="1:1">
      <c r="A5281" s="22"/>
    </row>
    <row r="5282" spans="1:1">
      <c r="A5282" s="22"/>
    </row>
    <row r="5283" spans="1:1">
      <c r="A5283" s="22"/>
    </row>
    <row r="5284" spans="1:1">
      <c r="A5284" s="22"/>
    </row>
    <row r="5285" spans="1:1">
      <c r="A5285" s="22"/>
    </row>
    <row r="5286" spans="1:1">
      <c r="A5286" s="22"/>
    </row>
    <row r="5287" spans="1:1">
      <c r="A5287" s="22"/>
    </row>
    <row r="5288" spans="1:1">
      <c r="A5288" s="22"/>
    </row>
    <row r="5289" spans="1:1">
      <c r="A5289" s="22"/>
    </row>
    <row r="5290" spans="1:1">
      <c r="A5290" s="22"/>
    </row>
    <row r="5291" spans="1:1">
      <c r="A5291" s="22"/>
    </row>
    <row r="5292" spans="1:1">
      <c r="A5292" s="22"/>
    </row>
    <row r="5293" spans="1:1">
      <c r="A5293" s="22"/>
    </row>
    <row r="5294" spans="1:1">
      <c r="A5294" s="22"/>
    </row>
    <row r="5295" spans="1:1">
      <c r="A5295" s="22"/>
    </row>
    <row r="5296" spans="1:1">
      <c r="A5296" s="22"/>
    </row>
    <row r="5297" spans="1:1">
      <c r="A5297" s="22"/>
    </row>
    <row r="5298" spans="1:1">
      <c r="A5298" s="22"/>
    </row>
    <row r="5299" spans="1:1">
      <c r="A5299" s="22"/>
    </row>
    <row r="5300" spans="1:1">
      <c r="A5300" s="22"/>
    </row>
    <row r="5301" spans="1:1">
      <c r="A5301" s="22"/>
    </row>
    <row r="5302" spans="1:1">
      <c r="A5302" s="22"/>
    </row>
    <row r="5303" spans="1:1">
      <c r="A5303" s="22"/>
    </row>
    <row r="5304" spans="1:1">
      <c r="A5304" s="22"/>
    </row>
    <row r="5305" spans="1:1">
      <c r="A5305" s="22"/>
    </row>
    <row r="5306" spans="1:1">
      <c r="A5306" s="22"/>
    </row>
    <row r="5307" spans="1:1">
      <c r="A5307" s="22"/>
    </row>
    <row r="5308" spans="1:1">
      <c r="A5308" s="22"/>
    </row>
    <row r="5309" spans="1:1">
      <c r="A5309" s="22"/>
    </row>
    <row r="5310" spans="1:1">
      <c r="A5310" s="22"/>
    </row>
    <row r="5311" spans="1:1">
      <c r="A5311" s="22"/>
    </row>
    <row r="5312" spans="1:1">
      <c r="A5312" s="22"/>
    </row>
    <row r="5313" spans="1:1">
      <c r="A5313" s="22"/>
    </row>
    <row r="5314" spans="1:1">
      <c r="A5314" s="22"/>
    </row>
    <row r="5315" spans="1:1">
      <c r="A5315" s="22"/>
    </row>
    <row r="5316" spans="1:1">
      <c r="A5316" s="22"/>
    </row>
    <row r="5317" spans="1:1">
      <c r="A5317" s="22"/>
    </row>
    <row r="5318" spans="1:1">
      <c r="A5318" s="22"/>
    </row>
    <row r="5319" spans="1:1">
      <c r="A5319" s="22"/>
    </row>
    <row r="5320" spans="1:1">
      <c r="A5320" s="22"/>
    </row>
    <row r="5321" spans="1:1">
      <c r="A5321" s="22"/>
    </row>
    <row r="5322" spans="1:1">
      <c r="A5322" s="22"/>
    </row>
    <row r="5323" spans="1:1">
      <c r="A5323" s="22"/>
    </row>
    <row r="5324" spans="1:1">
      <c r="A5324" s="22"/>
    </row>
    <row r="5325" spans="1:1">
      <c r="A5325" s="22"/>
    </row>
    <row r="5326" spans="1:1">
      <c r="A5326" s="22"/>
    </row>
    <row r="5327" spans="1:1">
      <c r="A5327" s="22"/>
    </row>
    <row r="5328" spans="1:1">
      <c r="A5328" s="22"/>
    </row>
    <row r="5329" spans="1:1">
      <c r="A5329" s="22"/>
    </row>
    <row r="5330" spans="1:1">
      <c r="A5330" s="22"/>
    </row>
    <row r="5331" spans="1:1">
      <c r="A5331" s="22"/>
    </row>
    <row r="5332" spans="1:1">
      <c r="A5332" s="22"/>
    </row>
    <row r="5333" spans="1:1">
      <c r="A5333" s="22"/>
    </row>
    <row r="5334" spans="1:1">
      <c r="A5334" s="22"/>
    </row>
    <row r="5335" spans="1:1">
      <c r="A5335" s="22"/>
    </row>
    <row r="5336" spans="1:1">
      <c r="A5336" s="22"/>
    </row>
    <row r="5337" spans="1:1">
      <c r="A5337" s="22"/>
    </row>
    <row r="5338" spans="1:1">
      <c r="A5338" s="22"/>
    </row>
    <row r="5339" spans="1:1">
      <c r="A5339" s="22"/>
    </row>
    <row r="5340" spans="1:1">
      <c r="A5340" s="22"/>
    </row>
    <row r="5341" spans="1:1">
      <c r="A5341" s="22"/>
    </row>
    <row r="5342" spans="1:1">
      <c r="A5342" s="22"/>
    </row>
    <row r="5343" spans="1:1">
      <c r="A5343" s="22"/>
    </row>
    <row r="5344" spans="1:1">
      <c r="A5344" s="22"/>
    </row>
    <row r="5345" spans="1:1">
      <c r="A5345" s="22"/>
    </row>
    <row r="5346" spans="1:1">
      <c r="A5346" s="22"/>
    </row>
    <row r="5347" spans="1:1">
      <c r="A5347" s="22"/>
    </row>
    <row r="5348" spans="1:1">
      <c r="A5348" s="22"/>
    </row>
    <row r="5349" spans="1:1">
      <c r="A5349" s="22"/>
    </row>
    <row r="5350" spans="1:1">
      <c r="A5350" s="22"/>
    </row>
    <row r="5351" spans="1:1">
      <c r="A5351" s="22"/>
    </row>
    <row r="5352" spans="1:1">
      <c r="A5352" s="22"/>
    </row>
    <row r="5353" spans="1:1">
      <c r="A5353" s="22"/>
    </row>
    <row r="5354" spans="1:1">
      <c r="A5354" s="22"/>
    </row>
    <row r="5355" spans="1:1">
      <c r="A5355" s="22"/>
    </row>
    <row r="5356" spans="1:1">
      <c r="A5356" s="22"/>
    </row>
    <row r="5357" spans="1:1">
      <c r="A5357" s="22"/>
    </row>
    <row r="5358" spans="1:1">
      <c r="A5358" s="22"/>
    </row>
    <row r="5359" spans="1:1">
      <c r="A5359" s="22"/>
    </row>
    <row r="5360" spans="1:1">
      <c r="A5360" s="22"/>
    </row>
    <row r="5361" spans="1:1">
      <c r="A5361" s="22"/>
    </row>
    <row r="5362" spans="1:1">
      <c r="A5362" s="22"/>
    </row>
    <row r="5363" spans="1:1">
      <c r="A5363" s="22"/>
    </row>
    <row r="5364" spans="1:1">
      <c r="A5364" s="22"/>
    </row>
    <row r="5365" spans="1:1">
      <c r="A5365" s="22"/>
    </row>
    <row r="5366" spans="1:1">
      <c r="A5366" s="22"/>
    </row>
    <row r="5367" spans="1:1">
      <c r="A5367" s="22"/>
    </row>
    <row r="5368" spans="1:1">
      <c r="A5368" s="22"/>
    </row>
    <row r="5369" spans="1:1">
      <c r="A5369" s="22"/>
    </row>
    <row r="5370" spans="1:1">
      <c r="A5370" s="22"/>
    </row>
    <row r="5371" spans="1:1">
      <c r="A5371" s="22"/>
    </row>
    <row r="5372" spans="1:1">
      <c r="A5372" s="22"/>
    </row>
    <row r="5373" spans="1:1">
      <c r="A5373" s="22"/>
    </row>
    <row r="5374" spans="1:1">
      <c r="A5374" s="22"/>
    </row>
    <row r="5375" spans="1:1">
      <c r="A5375" s="22"/>
    </row>
    <row r="5376" spans="1:1">
      <c r="A5376" s="22"/>
    </row>
    <row r="5377" spans="1:1">
      <c r="A5377" s="22"/>
    </row>
    <row r="5378" spans="1:1">
      <c r="A5378" s="22"/>
    </row>
    <row r="5379" spans="1:1">
      <c r="A5379" s="22"/>
    </row>
    <row r="5380" spans="1:1">
      <c r="A5380" s="22"/>
    </row>
    <row r="5381" spans="1:1">
      <c r="A5381" s="22"/>
    </row>
    <row r="5382" spans="1:1">
      <c r="A5382" s="22"/>
    </row>
    <row r="5383" spans="1:1">
      <c r="A5383" s="22"/>
    </row>
    <row r="5384" spans="1:1">
      <c r="A5384" s="22"/>
    </row>
    <row r="5385" spans="1:1">
      <c r="A5385" s="22"/>
    </row>
    <row r="5386" spans="1:1">
      <c r="A5386" s="22"/>
    </row>
    <row r="5387" spans="1:1">
      <c r="A5387" s="22"/>
    </row>
    <row r="5388" spans="1:1">
      <c r="A5388" s="22"/>
    </row>
    <row r="5389" spans="1:1">
      <c r="A5389" s="22"/>
    </row>
    <row r="5390" spans="1:1">
      <c r="A5390" s="22"/>
    </row>
    <row r="5391" spans="1:1">
      <c r="A5391" s="22"/>
    </row>
    <row r="5392" spans="1:1">
      <c r="A5392" s="22"/>
    </row>
    <row r="5393" spans="1:1">
      <c r="A5393" s="22"/>
    </row>
    <row r="5394" spans="1:1">
      <c r="A5394" s="22"/>
    </row>
    <row r="5395" spans="1:1">
      <c r="A5395" s="22"/>
    </row>
    <row r="5396" spans="1:1">
      <c r="A5396" s="22"/>
    </row>
    <row r="5397" spans="1:1">
      <c r="A5397" s="22"/>
    </row>
    <row r="5398" spans="1:1">
      <c r="A5398" s="22"/>
    </row>
    <row r="5399" spans="1:1">
      <c r="A5399" s="22"/>
    </row>
    <row r="5400" spans="1:1">
      <c r="A5400" s="22"/>
    </row>
    <row r="5401" spans="1:1">
      <c r="A5401" s="22"/>
    </row>
    <row r="5402" spans="1:1">
      <c r="A5402" s="22"/>
    </row>
    <row r="5403" spans="1:1">
      <c r="A5403" s="22"/>
    </row>
    <row r="5404" spans="1:1">
      <c r="A5404" s="22"/>
    </row>
    <row r="5405" spans="1:1">
      <c r="A5405" s="22"/>
    </row>
    <row r="5406" spans="1:1">
      <c r="A5406" s="22"/>
    </row>
    <row r="5407" spans="1:1">
      <c r="A5407" s="22"/>
    </row>
    <row r="5408" spans="1:1">
      <c r="A5408" s="22"/>
    </row>
    <row r="5409" spans="1:1">
      <c r="A5409" s="22"/>
    </row>
    <row r="5410" spans="1:1">
      <c r="A5410" s="22"/>
    </row>
    <row r="5411" spans="1:1">
      <c r="A5411" s="22"/>
    </row>
    <row r="5412" spans="1:1">
      <c r="A5412" s="22"/>
    </row>
    <row r="5413" spans="1:1">
      <c r="A5413" s="22"/>
    </row>
    <row r="5414" spans="1:1">
      <c r="A5414" s="22"/>
    </row>
    <row r="5415" spans="1:1">
      <c r="A5415" s="22"/>
    </row>
    <row r="5416" spans="1:1">
      <c r="A5416" s="22"/>
    </row>
    <row r="5417" spans="1:1">
      <c r="A5417" s="22"/>
    </row>
    <row r="5418" spans="1:1">
      <c r="A5418" s="22"/>
    </row>
    <row r="5419" spans="1:1">
      <c r="A5419" s="22"/>
    </row>
    <row r="5420" spans="1:1">
      <c r="A5420" s="22"/>
    </row>
    <row r="5421" spans="1:1">
      <c r="A5421" s="22"/>
    </row>
    <row r="5422" spans="1:1">
      <c r="A5422" s="22"/>
    </row>
    <row r="5423" spans="1:1">
      <c r="A5423" s="22"/>
    </row>
    <row r="5424" spans="1:1">
      <c r="A5424" s="22"/>
    </row>
    <row r="5425" spans="1:1">
      <c r="A5425" s="22"/>
    </row>
    <row r="5426" spans="1:1">
      <c r="A5426" s="22"/>
    </row>
    <row r="5427" spans="1:1">
      <c r="A5427" s="22"/>
    </row>
    <row r="5428" spans="1:1">
      <c r="A5428" s="22"/>
    </row>
    <row r="5429" spans="1:1">
      <c r="A5429" s="22"/>
    </row>
    <row r="5430" spans="1:1">
      <c r="A5430" s="22"/>
    </row>
    <row r="5431" spans="1:1">
      <c r="A5431" s="22"/>
    </row>
    <row r="5432" spans="1:1">
      <c r="A5432" s="22"/>
    </row>
    <row r="5433" spans="1:1">
      <c r="A5433" s="22"/>
    </row>
    <row r="5434" spans="1:1">
      <c r="A5434" s="22"/>
    </row>
    <row r="5435" spans="1:1">
      <c r="A5435" s="22"/>
    </row>
    <row r="5436" spans="1:1">
      <c r="A5436" s="22"/>
    </row>
    <row r="5437" spans="1:1">
      <c r="A5437" s="22"/>
    </row>
    <row r="5438" spans="1:1">
      <c r="A5438" s="22"/>
    </row>
    <row r="5439" spans="1:1">
      <c r="A5439" s="22"/>
    </row>
    <row r="5440" spans="1:1">
      <c r="A5440" s="22"/>
    </row>
    <row r="5441" spans="1:1">
      <c r="A5441" s="22"/>
    </row>
    <row r="5442" spans="1:1">
      <c r="A5442" s="22"/>
    </row>
    <row r="5443" spans="1:1">
      <c r="A5443" s="22"/>
    </row>
    <row r="5444" spans="1:1">
      <c r="A5444" s="22"/>
    </row>
    <row r="5445" spans="1:1">
      <c r="A5445" s="22"/>
    </row>
    <row r="5446" spans="1:1">
      <c r="A5446" s="22"/>
    </row>
    <row r="5447" spans="1:1">
      <c r="A5447" s="22"/>
    </row>
    <row r="5448" spans="1:1">
      <c r="A5448" s="22"/>
    </row>
    <row r="5449" spans="1:1">
      <c r="A5449" s="22"/>
    </row>
    <row r="5450" spans="1:1">
      <c r="A5450" s="22"/>
    </row>
    <row r="5451" spans="1:1">
      <c r="A5451" s="22"/>
    </row>
    <row r="5452" spans="1:1">
      <c r="A5452" s="22"/>
    </row>
    <row r="5453" spans="1:1">
      <c r="A5453" s="22"/>
    </row>
    <row r="5454" spans="1:1">
      <c r="A5454" s="22"/>
    </row>
    <row r="5455" spans="1:1">
      <c r="A5455" s="22"/>
    </row>
    <row r="5456" spans="1:1">
      <c r="A5456" s="22"/>
    </row>
    <row r="5457" spans="1:1">
      <c r="A5457" s="22"/>
    </row>
    <row r="5458" spans="1:1">
      <c r="A5458" s="22"/>
    </row>
    <row r="5459" spans="1:1">
      <c r="A5459" s="22"/>
    </row>
    <row r="5460" spans="1:1">
      <c r="A5460" s="22"/>
    </row>
    <row r="5461" spans="1:1">
      <c r="A5461" s="22"/>
    </row>
    <row r="5462" spans="1:1">
      <c r="A5462" s="22"/>
    </row>
    <row r="5463" spans="1:1">
      <c r="A5463" s="22"/>
    </row>
    <row r="5464" spans="1:1">
      <c r="A5464" s="22"/>
    </row>
    <row r="5465" spans="1:1">
      <c r="A5465" s="22"/>
    </row>
    <row r="5466" spans="1:1">
      <c r="A5466" s="22"/>
    </row>
    <row r="5467" spans="1:1">
      <c r="A5467" s="22"/>
    </row>
    <row r="5468" spans="1:1">
      <c r="A5468" s="22"/>
    </row>
    <row r="5469" spans="1:1">
      <c r="A5469" s="22"/>
    </row>
    <row r="5470" spans="1:1">
      <c r="A5470" s="22"/>
    </row>
    <row r="5471" spans="1:1">
      <c r="A5471" s="22"/>
    </row>
    <row r="5472" spans="1:1">
      <c r="A5472" s="22"/>
    </row>
    <row r="5473" spans="1:1">
      <c r="A5473" s="22"/>
    </row>
    <row r="5474" spans="1:1">
      <c r="A5474" s="22"/>
    </row>
    <row r="5475" spans="1:1">
      <c r="A5475" s="22"/>
    </row>
    <row r="5476" spans="1:1">
      <c r="A5476" s="22"/>
    </row>
    <row r="5477" spans="1:1">
      <c r="A5477" s="22"/>
    </row>
    <row r="5478" spans="1:1">
      <c r="A5478" s="22"/>
    </row>
    <row r="5479" spans="1:1">
      <c r="A5479" s="22"/>
    </row>
    <row r="5480" spans="1:1">
      <c r="A5480" s="22"/>
    </row>
    <row r="5481" spans="1:1">
      <c r="A5481" s="22"/>
    </row>
    <row r="5482" spans="1:1">
      <c r="A5482" s="22"/>
    </row>
    <row r="5483" spans="1:1">
      <c r="A5483" s="22"/>
    </row>
    <row r="5484" spans="1:1">
      <c r="A5484" s="22"/>
    </row>
    <row r="5485" spans="1:1">
      <c r="A5485" s="22"/>
    </row>
    <row r="5486" spans="1:1">
      <c r="A5486" s="22"/>
    </row>
    <row r="5487" spans="1:1">
      <c r="A5487" s="22"/>
    </row>
    <row r="5488" spans="1:1">
      <c r="A5488" s="22"/>
    </row>
    <row r="5489" spans="1:1">
      <c r="A5489" s="22"/>
    </row>
    <row r="5490" spans="1:1">
      <c r="A5490" s="22"/>
    </row>
    <row r="5491" spans="1:1">
      <c r="A5491" s="22"/>
    </row>
    <row r="5492" spans="1:1">
      <c r="A5492" s="22"/>
    </row>
    <row r="5493" spans="1:1">
      <c r="A5493" s="22"/>
    </row>
    <row r="5494" spans="1:1">
      <c r="A5494" s="22"/>
    </row>
    <row r="5495" spans="1:1">
      <c r="A5495" s="22"/>
    </row>
    <row r="5496" spans="1:1">
      <c r="A5496" s="22"/>
    </row>
    <row r="5497" spans="1:1">
      <c r="A5497" s="22"/>
    </row>
    <row r="5498" spans="1:1">
      <c r="A5498" s="22"/>
    </row>
    <row r="5499" spans="1:1">
      <c r="A5499" s="22"/>
    </row>
    <row r="5500" spans="1:1">
      <c r="A5500" s="22"/>
    </row>
    <row r="5501" spans="1:1">
      <c r="A5501" s="22"/>
    </row>
    <row r="5502" spans="1:1">
      <c r="A5502" s="22"/>
    </row>
    <row r="5503" spans="1:1">
      <c r="A5503" s="22"/>
    </row>
    <row r="5504" spans="1:1">
      <c r="A5504" s="22"/>
    </row>
    <row r="5505" spans="1:1">
      <c r="A5505" s="22"/>
    </row>
    <row r="5506" spans="1:1">
      <c r="A5506" s="22"/>
    </row>
    <row r="5507" spans="1:1">
      <c r="A5507" s="22"/>
    </row>
    <row r="5508" spans="1:1">
      <c r="A5508" s="22"/>
    </row>
    <row r="5509" spans="1:1">
      <c r="A5509" s="22"/>
    </row>
    <row r="5510" spans="1:1">
      <c r="A5510" s="22"/>
    </row>
    <row r="5511" spans="1:1">
      <c r="A5511" s="22"/>
    </row>
    <row r="5512" spans="1:1">
      <c r="A5512" s="22"/>
    </row>
    <row r="5513" spans="1:1">
      <c r="A5513" s="22"/>
    </row>
    <row r="5514" spans="1:1">
      <c r="A5514" s="22"/>
    </row>
    <row r="5515" spans="1:1">
      <c r="A5515" s="22"/>
    </row>
    <row r="5516" spans="1:1">
      <c r="A5516" s="22"/>
    </row>
    <row r="5517" spans="1:1">
      <c r="A5517" s="22"/>
    </row>
    <row r="5518" spans="1:1">
      <c r="A5518" s="22"/>
    </row>
    <row r="5519" spans="1:1">
      <c r="A5519" s="22"/>
    </row>
    <row r="5520" spans="1:1">
      <c r="A5520" s="22"/>
    </row>
    <row r="5521" spans="1:1">
      <c r="A5521" s="22"/>
    </row>
    <row r="5522" spans="1:1">
      <c r="A5522" s="22"/>
    </row>
    <row r="5523" spans="1:1">
      <c r="A5523" s="22"/>
    </row>
    <row r="5524" spans="1:1">
      <c r="A5524" s="22"/>
    </row>
    <row r="5525" spans="1:1">
      <c r="A5525" s="22"/>
    </row>
    <row r="5526" spans="1:1">
      <c r="A5526" s="22"/>
    </row>
    <row r="5527" spans="1:1">
      <c r="A5527" s="22"/>
    </row>
    <row r="5528" spans="1:1">
      <c r="A5528" s="22"/>
    </row>
    <row r="5529" spans="1:1">
      <c r="A5529" s="22"/>
    </row>
    <row r="5530" spans="1:1">
      <c r="A5530" s="22"/>
    </row>
    <row r="5531" spans="1:1">
      <c r="A5531" s="22"/>
    </row>
    <row r="5532" spans="1:1">
      <c r="A5532" s="22"/>
    </row>
    <row r="5533" spans="1:1">
      <c r="A5533" s="22"/>
    </row>
    <row r="5534" spans="1:1">
      <c r="A5534" s="22"/>
    </row>
    <row r="5535" spans="1:1">
      <c r="A5535" s="22"/>
    </row>
    <row r="5536" spans="1:1">
      <c r="A5536" s="22"/>
    </row>
    <row r="5537" spans="1:1">
      <c r="A5537" s="22"/>
    </row>
    <row r="5538" spans="1:1">
      <c r="A5538" s="22"/>
    </row>
    <row r="5539" spans="1:1">
      <c r="A5539" s="22"/>
    </row>
    <row r="5540" spans="1:1">
      <c r="A5540" s="22"/>
    </row>
    <row r="5541" spans="1:1">
      <c r="A5541" s="22"/>
    </row>
    <row r="5542" spans="1:1">
      <c r="A5542" s="22"/>
    </row>
    <row r="5543" spans="1:1">
      <c r="A5543" s="22"/>
    </row>
    <row r="5544" spans="1:1">
      <c r="A5544" s="22"/>
    </row>
    <row r="5545" spans="1:1">
      <c r="A5545" s="22"/>
    </row>
    <row r="5546" spans="1:1">
      <c r="A5546" s="22"/>
    </row>
    <row r="5547" spans="1:1">
      <c r="A5547" s="22"/>
    </row>
    <row r="5548" spans="1:1">
      <c r="A5548" s="22"/>
    </row>
    <row r="5549" spans="1:1">
      <c r="A5549" s="22"/>
    </row>
    <row r="5550" spans="1:1">
      <c r="A5550" s="22"/>
    </row>
    <row r="5551" spans="1:1">
      <c r="A5551" s="22"/>
    </row>
    <row r="5552" spans="1:1">
      <c r="A5552" s="22"/>
    </row>
    <row r="5553" spans="1:1">
      <c r="A5553" s="22"/>
    </row>
    <row r="5554" spans="1:1">
      <c r="A5554" s="22"/>
    </row>
    <row r="5555" spans="1:1">
      <c r="A5555" s="22"/>
    </row>
    <row r="5556" spans="1:1">
      <c r="A5556" s="22"/>
    </row>
    <row r="5557" spans="1:1">
      <c r="A5557" s="22"/>
    </row>
    <row r="5558" spans="1:1">
      <c r="A5558" s="22"/>
    </row>
    <row r="5559" spans="1:1">
      <c r="A5559" s="22"/>
    </row>
    <row r="5560" spans="1:1">
      <c r="A5560" s="22"/>
    </row>
    <row r="5561" spans="1:1">
      <c r="A5561" s="22"/>
    </row>
    <row r="5562" spans="1:1">
      <c r="A5562" s="22"/>
    </row>
    <row r="5563" spans="1:1">
      <c r="A5563" s="22"/>
    </row>
    <row r="5564" spans="1:1">
      <c r="A5564" s="22"/>
    </row>
    <row r="5565" spans="1:1">
      <c r="A5565" s="22"/>
    </row>
    <row r="5566" spans="1:1">
      <c r="A5566" s="22"/>
    </row>
    <row r="5567" spans="1:1">
      <c r="A5567" s="22"/>
    </row>
    <row r="5568" spans="1:1">
      <c r="A5568" s="22"/>
    </row>
    <row r="5569" spans="1:1">
      <c r="A5569" s="22"/>
    </row>
    <row r="5570" spans="1:1">
      <c r="A5570" s="22"/>
    </row>
    <row r="5571" spans="1:1">
      <c r="A5571" s="22"/>
    </row>
    <row r="5572" spans="1:1">
      <c r="A5572" s="22"/>
    </row>
    <row r="5573" spans="1:1">
      <c r="A5573" s="22"/>
    </row>
    <row r="5574" spans="1:1">
      <c r="A5574" s="22"/>
    </row>
    <row r="5575" spans="1:1">
      <c r="A5575" s="22"/>
    </row>
    <row r="5576" spans="1:1">
      <c r="A5576" s="22"/>
    </row>
    <row r="5577" spans="1:1">
      <c r="A5577" s="22"/>
    </row>
    <row r="5578" spans="1:1">
      <c r="A5578" s="22"/>
    </row>
    <row r="5579" spans="1:1">
      <c r="A5579" s="22"/>
    </row>
    <row r="5580" spans="1:1">
      <c r="A5580" s="22"/>
    </row>
    <row r="5581" spans="1:1">
      <c r="A5581" s="22"/>
    </row>
    <row r="5582" spans="1:1">
      <c r="A5582" s="22"/>
    </row>
    <row r="5583" spans="1:1">
      <c r="A5583" s="22"/>
    </row>
    <row r="5584" spans="1:1">
      <c r="A5584" s="22"/>
    </row>
    <row r="5585" spans="1:1">
      <c r="A5585" s="22"/>
    </row>
    <row r="5586" spans="1:1">
      <c r="A5586" s="22"/>
    </row>
    <row r="5587" spans="1:1">
      <c r="A5587" s="22"/>
    </row>
    <row r="5588" spans="1:1">
      <c r="A5588" s="22"/>
    </row>
    <row r="5589" spans="1:1">
      <c r="A5589" s="22"/>
    </row>
    <row r="5590" spans="1:1">
      <c r="A5590" s="22"/>
    </row>
    <row r="5591" spans="1:1">
      <c r="A5591" s="22"/>
    </row>
    <row r="5592" spans="1:1">
      <c r="A5592" s="22"/>
    </row>
    <row r="5593" spans="1:1">
      <c r="A5593" s="22"/>
    </row>
    <row r="5594" spans="1:1">
      <c r="A5594" s="22"/>
    </row>
    <row r="5595" spans="1:1">
      <c r="A5595" s="22"/>
    </row>
    <row r="5596" spans="1:1">
      <c r="A5596" s="22"/>
    </row>
    <row r="5597" spans="1:1">
      <c r="A5597" s="22"/>
    </row>
    <row r="5598" spans="1:1">
      <c r="A5598" s="22"/>
    </row>
    <row r="5599" spans="1:1">
      <c r="A5599" s="22"/>
    </row>
    <row r="5600" spans="1:1">
      <c r="A5600" s="22"/>
    </row>
    <row r="5601" spans="1:1">
      <c r="A5601" s="22"/>
    </row>
    <row r="5602" spans="1:1">
      <c r="A5602" s="22"/>
    </row>
    <row r="5603" spans="1:1">
      <c r="A5603" s="22"/>
    </row>
    <row r="5604" spans="1:1">
      <c r="A5604" s="22"/>
    </row>
    <row r="5605" spans="1:1">
      <c r="A5605" s="22"/>
    </row>
    <row r="5606" spans="1:1">
      <c r="A5606" s="22"/>
    </row>
    <row r="5607" spans="1:1">
      <c r="A5607" s="22"/>
    </row>
    <row r="5608" spans="1:1">
      <c r="A5608" s="22"/>
    </row>
    <row r="5609" spans="1:1">
      <c r="A5609" s="22"/>
    </row>
    <row r="5610" spans="1:1">
      <c r="A5610" s="22"/>
    </row>
    <row r="5611" spans="1:1">
      <c r="A5611" s="22"/>
    </row>
    <row r="5612" spans="1:1">
      <c r="A5612" s="22"/>
    </row>
    <row r="5613" spans="1:1">
      <c r="A5613" s="22"/>
    </row>
    <row r="5614" spans="1:1">
      <c r="A5614" s="22"/>
    </row>
    <row r="5615" spans="1:1">
      <c r="A5615" s="22"/>
    </row>
    <row r="5616" spans="1:1">
      <c r="A5616" s="22"/>
    </row>
    <row r="5617" spans="1:1">
      <c r="A5617" s="22"/>
    </row>
    <row r="5618" spans="1:1">
      <c r="A5618" s="22"/>
    </row>
    <row r="5619" spans="1:1">
      <c r="A5619" s="22"/>
    </row>
    <row r="5620" spans="1:1">
      <c r="A5620" s="22"/>
    </row>
    <row r="5621" spans="1:1">
      <c r="A5621" s="22"/>
    </row>
    <row r="5622" spans="1:1">
      <c r="A5622" s="22"/>
    </row>
    <row r="5623" spans="1:1">
      <c r="A5623" s="22"/>
    </row>
    <row r="5624" spans="1:1">
      <c r="A5624" s="22"/>
    </row>
    <row r="5625" spans="1:1">
      <c r="A5625" s="22"/>
    </row>
    <row r="5626" spans="1:1">
      <c r="A5626" s="22"/>
    </row>
    <row r="5627" spans="1:1">
      <c r="A5627" s="22"/>
    </row>
    <row r="5628" spans="1:1">
      <c r="A5628" s="22"/>
    </row>
    <row r="5629" spans="1:1">
      <c r="A5629" s="22"/>
    </row>
    <row r="5630" spans="1:1">
      <c r="A5630" s="22"/>
    </row>
    <row r="5631" spans="1:1">
      <c r="A5631" s="22"/>
    </row>
    <row r="5632" spans="1:1">
      <c r="A5632" s="22"/>
    </row>
    <row r="5633" spans="1:1">
      <c r="A5633" s="22"/>
    </row>
    <row r="5634" spans="1:1">
      <c r="A5634" s="22"/>
    </row>
    <row r="5635" spans="1:1">
      <c r="A5635" s="22"/>
    </row>
    <row r="5636" spans="1:1">
      <c r="A5636" s="22"/>
    </row>
    <row r="5637" spans="1:1">
      <c r="A5637" s="22"/>
    </row>
    <row r="5638" spans="1:1">
      <c r="A5638" s="22"/>
    </row>
    <row r="5639" spans="1:1">
      <c r="A5639" s="22"/>
    </row>
    <row r="5640" spans="1:1">
      <c r="A5640" s="22"/>
    </row>
    <row r="5641" spans="1:1">
      <c r="A5641" s="22"/>
    </row>
    <row r="5642" spans="1:1">
      <c r="A5642" s="22"/>
    </row>
    <row r="5643" spans="1:1">
      <c r="A5643" s="22"/>
    </row>
    <row r="5644" spans="1:1">
      <c r="A5644" s="22"/>
    </row>
    <row r="5645" spans="1:1">
      <c r="A5645" s="22"/>
    </row>
    <row r="5646" spans="1:1">
      <c r="A5646" s="22"/>
    </row>
    <row r="5647" spans="1:1">
      <c r="A5647" s="22"/>
    </row>
    <row r="5648" spans="1:1">
      <c r="A5648" s="22"/>
    </row>
    <row r="5649" spans="1:1">
      <c r="A5649" s="22"/>
    </row>
    <row r="5650" spans="1:1">
      <c r="A5650" s="22"/>
    </row>
    <row r="5651" spans="1:1">
      <c r="A5651" s="22"/>
    </row>
    <row r="5652" spans="1:1">
      <c r="A5652" s="22"/>
    </row>
    <row r="5653" spans="1:1">
      <c r="A5653" s="22"/>
    </row>
    <row r="5654" spans="1:1">
      <c r="A5654" s="22"/>
    </row>
    <row r="5655" spans="1:1">
      <c r="A5655" s="22"/>
    </row>
    <row r="5656" spans="1:1">
      <c r="A5656" s="22"/>
    </row>
    <row r="5657" spans="1:1">
      <c r="A5657" s="22"/>
    </row>
    <row r="5658" spans="1:1">
      <c r="A5658" s="22"/>
    </row>
    <row r="5659" spans="1:1">
      <c r="A5659" s="22"/>
    </row>
    <row r="5660" spans="1:1">
      <c r="A5660" s="22"/>
    </row>
    <row r="5661" spans="1:1">
      <c r="A5661" s="22"/>
    </row>
    <row r="5662" spans="1:1">
      <c r="A5662" s="22"/>
    </row>
    <row r="5663" spans="1:1">
      <c r="A5663" s="22"/>
    </row>
    <row r="5664" spans="1:1">
      <c r="A5664" s="22"/>
    </row>
    <row r="5665" spans="1:1">
      <c r="A5665" s="22"/>
    </row>
    <row r="5666" spans="1:1">
      <c r="A5666" s="22"/>
    </row>
    <row r="5667" spans="1:1">
      <c r="A5667" s="22"/>
    </row>
    <row r="5668" spans="1:1">
      <c r="A5668" s="22"/>
    </row>
    <row r="5669" spans="1:1">
      <c r="A5669" s="22"/>
    </row>
    <row r="5670" spans="1:1">
      <c r="A5670" s="22"/>
    </row>
    <row r="5671" spans="1:1">
      <c r="A5671" s="22"/>
    </row>
    <row r="5672" spans="1:1">
      <c r="A5672" s="22"/>
    </row>
    <row r="5673" spans="1:1">
      <c r="A5673" s="22"/>
    </row>
    <row r="5674" spans="1:1">
      <c r="A5674" s="22"/>
    </row>
    <row r="5675" spans="1:1">
      <c r="A5675" s="22"/>
    </row>
    <row r="5676" spans="1:1">
      <c r="A5676" s="22"/>
    </row>
    <row r="5677" spans="1:1">
      <c r="A5677" s="22"/>
    </row>
    <row r="5678" spans="1:1">
      <c r="A5678" s="22"/>
    </row>
    <row r="5679" spans="1:1">
      <c r="A5679" s="22"/>
    </row>
    <row r="5680" spans="1:1">
      <c r="A5680" s="22"/>
    </row>
    <row r="5681" spans="1:1">
      <c r="A5681" s="22"/>
    </row>
    <row r="5682" spans="1:1">
      <c r="A5682" s="22"/>
    </row>
    <row r="5683" spans="1:1">
      <c r="A5683" s="22"/>
    </row>
    <row r="5684" spans="1:1">
      <c r="A5684" s="22"/>
    </row>
    <row r="5685" spans="1:1">
      <c r="A5685" s="22"/>
    </row>
    <row r="5686" spans="1:1">
      <c r="A5686" s="22"/>
    </row>
    <row r="5687" spans="1:1">
      <c r="A5687" s="22"/>
    </row>
    <row r="5688" spans="1:1">
      <c r="A5688" s="22"/>
    </row>
    <row r="5689" spans="1:1">
      <c r="A5689" s="22"/>
    </row>
    <row r="5690" spans="1:1">
      <c r="A5690" s="22"/>
    </row>
    <row r="5691" spans="1:1">
      <c r="A5691" s="22"/>
    </row>
    <row r="5692" spans="1:1">
      <c r="A5692" s="22"/>
    </row>
    <row r="5693" spans="1:1">
      <c r="A5693" s="22"/>
    </row>
    <row r="5694" spans="1:1">
      <c r="A5694" s="22"/>
    </row>
    <row r="5695" spans="1:1">
      <c r="A5695" s="22"/>
    </row>
    <row r="5696" spans="1:1">
      <c r="A5696" s="22"/>
    </row>
    <row r="5697" spans="1:1">
      <c r="A5697" s="22"/>
    </row>
    <row r="5698" spans="1:1">
      <c r="A5698" s="22"/>
    </row>
    <row r="5699" spans="1:1">
      <c r="A5699" s="22"/>
    </row>
    <row r="5700" spans="1:1">
      <c r="A5700" s="22"/>
    </row>
    <row r="5701" spans="1:1">
      <c r="A5701" s="22"/>
    </row>
    <row r="5702" spans="1:1">
      <c r="A5702" s="22"/>
    </row>
    <row r="5703" spans="1:1">
      <c r="A5703" s="22"/>
    </row>
    <row r="5704" spans="1:1">
      <c r="A5704" s="22"/>
    </row>
    <row r="5705" spans="1:1">
      <c r="A5705" s="22"/>
    </row>
    <row r="5706" spans="1:1">
      <c r="A5706" s="22"/>
    </row>
    <row r="5707" spans="1:1">
      <c r="A5707" s="22"/>
    </row>
    <row r="5708" spans="1:1">
      <c r="A5708" s="22"/>
    </row>
    <row r="5709" spans="1:1">
      <c r="A5709" s="22"/>
    </row>
    <row r="5710" spans="1:1">
      <c r="A5710" s="22"/>
    </row>
    <row r="5711" spans="1:1">
      <c r="A5711" s="22"/>
    </row>
    <row r="5712" spans="1:1">
      <c r="A5712" s="22"/>
    </row>
    <row r="5713" spans="1:1">
      <c r="A5713" s="22"/>
    </row>
    <row r="5714" spans="1:1">
      <c r="A5714" s="22"/>
    </row>
    <row r="5715" spans="1:1">
      <c r="A5715" s="22"/>
    </row>
    <row r="5716" spans="1:1">
      <c r="A5716" s="22"/>
    </row>
    <row r="5717" spans="1:1">
      <c r="A5717" s="22"/>
    </row>
    <row r="5718" spans="1:1">
      <c r="A5718" s="22"/>
    </row>
    <row r="5719" spans="1:1">
      <c r="A5719" s="22"/>
    </row>
    <row r="5720" spans="1:1">
      <c r="A5720" s="22"/>
    </row>
    <row r="5721" spans="1:1">
      <c r="A5721" s="22"/>
    </row>
    <row r="5722" spans="1:1">
      <c r="A5722" s="22"/>
    </row>
    <row r="5723" spans="1:1">
      <c r="A5723" s="22"/>
    </row>
    <row r="5724" spans="1:1">
      <c r="A5724" s="22"/>
    </row>
    <row r="5725" spans="1:1">
      <c r="A5725" s="22"/>
    </row>
    <row r="5726" spans="1:1">
      <c r="A5726" s="22"/>
    </row>
    <row r="5727" spans="1:1">
      <c r="A5727" s="22"/>
    </row>
    <row r="5728" spans="1:1">
      <c r="A5728" s="22"/>
    </row>
    <row r="5729" spans="1:1">
      <c r="A5729" s="22"/>
    </row>
    <row r="5730" spans="1:1">
      <c r="A5730" s="22"/>
    </row>
    <row r="5731" spans="1:1">
      <c r="A5731" s="22"/>
    </row>
    <row r="5732" spans="1:1">
      <c r="A5732" s="22"/>
    </row>
    <row r="5733" spans="1:1">
      <c r="A5733" s="22"/>
    </row>
    <row r="5734" spans="1:1">
      <c r="A5734" s="22"/>
    </row>
    <row r="5735" spans="1:1">
      <c r="A5735" s="22"/>
    </row>
    <row r="5736" spans="1:1">
      <c r="A5736" s="22"/>
    </row>
    <row r="5737" spans="1:1">
      <c r="A5737" s="22"/>
    </row>
    <row r="5738" spans="1:1">
      <c r="A5738" s="22"/>
    </row>
    <row r="5739" spans="1:1">
      <c r="A5739" s="22"/>
    </row>
    <row r="5740" spans="1:1">
      <c r="A5740" s="22"/>
    </row>
    <row r="5741" spans="1:1">
      <c r="A5741" s="22"/>
    </row>
    <row r="5742" spans="1:1">
      <c r="A5742" s="22"/>
    </row>
    <row r="5743" spans="1:1">
      <c r="A5743" s="22"/>
    </row>
    <row r="5744" spans="1:1">
      <c r="A5744" s="22"/>
    </row>
    <row r="5745" spans="1:1">
      <c r="A5745" s="22"/>
    </row>
    <row r="5746" spans="1:1">
      <c r="A5746" s="22"/>
    </row>
    <row r="5747" spans="1:1">
      <c r="A5747" s="22"/>
    </row>
    <row r="5748" spans="1:1">
      <c r="A5748" s="22"/>
    </row>
    <row r="5749" spans="1:1">
      <c r="A5749" s="22"/>
    </row>
    <row r="5750" spans="1:1">
      <c r="A5750" s="22"/>
    </row>
    <row r="5751" spans="1:1">
      <c r="A5751" s="22"/>
    </row>
    <row r="5752" spans="1:1">
      <c r="A5752" s="22"/>
    </row>
    <row r="5753" spans="1:1">
      <c r="A5753" s="22"/>
    </row>
    <row r="5754" spans="1:1">
      <c r="A5754" s="22"/>
    </row>
    <row r="5755" spans="1:1">
      <c r="A5755" s="22"/>
    </row>
    <row r="5756" spans="1:1">
      <c r="A5756" s="22"/>
    </row>
    <row r="5757" spans="1:1">
      <c r="A5757" s="22"/>
    </row>
    <row r="5758" spans="1:1">
      <c r="A5758" s="22"/>
    </row>
    <row r="5759" spans="1:1">
      <c r="A5759" s="22"/>
    </row>
    <row r="5760" spans="1:1">
      <c r="A5760" s="22"/>
    </row>
    <row r="5761" spans="1:1">
      <c r="A5761" s="22"/>
    </row>
    <row r="5762" spans="1:1">
      <c r="A5762" s="22"/>
    </row>
    <row r="5763" spans="1:1">
      <c r="A5763" s="22"/>
    </row>
    <row r="5764" spans="1:1">
      <c r="A5764" s="22"/>
    </row>
    <row r="5765" spans="1:1">
      <c r="A5765" s="22"/>
    </row>
    <row r="5766" spans="1:1">
      <c r="A5766" s="22"/>
    </row>
    <row r="5767" spans="1:1">
      <c r="A5767" s="22"/>
    </row>
    <row r="5768" spans="1:1">
      <c r="A5768" s="22"/>
    </row>
    <row r="5769" spans="1:1">
      <c r="A5769" s="22"/>
    </row>
    <row r="5770" spans="1:1">
      <c r="A5770" s="22"/>
    </row>
    <row r="5771" spans="1:1">
      <c r="A5771" s="22"/>
    </row>
    <row r="5772" spans="1:1">
      <c r="A5772" s="22"/>
    </row>
    <row r="5773" spans="1:1">
      <c r="A5773" s="22"/>
    </row>
    <row r="5774" spans="1:1">
      <c r="A5774" s="22"/>
    </row>
    <row r="5775" spans="1:1">
      <c r="A5775" s="22"/>
    </row>
    <row r="5776" spans="1:1">
      <c r="A5776" s="22"/>
    </row>
    <row r="5777" spans="1:1">
      <c r="A5777" s="22"/>
    </row>
    <row r="5778" spans="1:1">
      <c r="A5778" s="22"/>
    </row>
    <row r="5779" spans="1:1">
      <c r="A5779" s="22"/>
    </row>
    <row r="5780" spans="1:1">
      <c r="A5780" s="22"/>
    </row>
    <row r="5781" spans="1:1">
      <c r="A5781" s="22"/>
    </row>
    <row r="5782" spans="1:1">
      <c r="A5782" s="22"/>
    </row>
    <row r="5783" spans="1:1">
      <c r="A5783" s="22"/>
    </row>
    <row r="5784" spans="1:1">
      <c r="A5784" s="22"/>
    </row>
    <row r="5785" spans="1:1">
      <c r="A5785" s="22"/>
    </row>
    <row r="5786" spans="1:1">
      <c r="A5786" s="22"/>
    </row>
    <row r="5787" spans="1:1">
      <c r="A5787" s="22"/>
    </row>
    <row r="5788" spans="1:1">
      <c r="A5788" s="22"/>
    </row>
    <row r="5789" spans="1:1">
      <c r="A5789" s="22"/>
    </row>
    <row r="5790" spans="1:1">
      <c r="A5790" s="22"/>
    </row>
    <row r="5791" spans="1:1">
      <c r="A5791" s="22"/>
    </row>
    <row r="5792" spans="1:1">
      <c r="A5792" s="22"/>
    </row>
    <row r="5793" spans="1:1">
      <c r="A5793" s="22"/>
    </row>
    <row r="5794" spans="1:1">
      <c r="A5794" s="22"/>
    </row>
    <row r="5795" spans="1:1">
      <c r="A5795" s="22"/>
    </row>
    <row r="5796" spans="1:1">
      <c r="A5796" s="22"/>
    </row>
    <row r="5797" spans="1:1">
      <c r="A5797" s="22"/>
    </row>
    <row r="5798" spans="1:1">
      <c r="A5798" s="22"/>
    </row>
    <row r="5799" spans="1:1">
      <c r="A5799" s="22"/>
    </row>
    <row r="5800" spans="1:1">
      <c r="A5800" s="22"/>
    </row>
    <row r="5801" spans="1:1">
      <c r="A5801" s="22"/>
    </row>
    <row r="5802" spans="1:1">
      <c r="A5802" s="22"/>
    </row>
    <row r="5803" spans="1:1">
      <c r="A5803" s="22"/>
    </row>
    <row r="5804" spans="1:1">
      <c r="A5804" s="22"/>
    </row>
    <row r="5805" spans="1:1">
      <c r="A5805" s="22"/>
    </row>
    <row r="5806" spans="1:1">
      <c r="A5806" s="22"/>
    </row>
    <row r="5807" spans="1:1">
      <c r="A5807" s="22"/>
    </row>
    <row r="5808" spans="1:1">
      <c r="A5808" s="22"/>
    </row>
    <row r="5809" spans="1:1">
      <c r="A5809" s="22"/>
    </row>
    <row r="5810" spans="1:1">
      <c r="A5810" s="22"/>
    </row>
    <row r="5811" spans="1:1">
      <c r="A5811" s="22"/>
    </row>
    <row r="5812" spans="1:1">
      <c r="A5812" s="22"/>
    </row>
    <row r="5813" spans="1:1">
      <c r="A5813" s="22"/>
    </row>
    <row r="5814" spans="1:1">
      <c r="A5814" s="22"/>
    </row>
    <row r="5815" spans="1:1">
      <c r="A5815" s="22"/>
    </row>
    <row r="5816" spans="1:1">
      <c r="A5816" s="22"/>
    </row>
    <row r="5817" spans="1:1">
      <c r="A5817" s="22"/>
    </row>
    <row r="5818" spans="1:1">
      <c r="A5818" s="22"/>
    </row>
    <row r="5819" spans="1:1">
      <c r="A5819" s="22"/>
    </row>
    <row r="5820" spans="1:1">
      <c r="A5820" s="22"/>
    </row>
    <row r="5821" spans="1:1">
      <c r="A5821" s="22"/>
    </row>
    <row r="5822" spans="1:1">
      <c r="A5822" s="22"/>
    </row>
    <row r="5823" spans="1:1">
      <c r="A5823" s="22"/>
    </row>
    <row r="5824" spans="1:1">
      <c r="A5824" s="22"/>
    </row>
    <row r="5825" spans="1:1">
      <c r="A5825" s="22"/>
    </row>
    <row r="5826" spans="1:1">
      <c r="A5826" s="22"/>
    </row>
    <row r="5827" spans="1:1">
      <c r="A5827" s="22"/>
    </row>
    <row r="5828" spans="1:1">
      <c r="A5828" s="22"/>
    </row>
    <row r="5829" spans="1:1">
      <c r="A5829" s="22"/>
    </row>
    <row r="5830" spans="1:1">
      <c r="A5830" s="22"/>
    </row>
    <row r="5831" spans="1:1">
      <c r="A5831" s="22"/>
    </row>
    <row r="5832" spans="1:1">
      <c r="A5832" s="22"/>
    </row>
    <row r="5833" spans="1:1">
      <c r="A5833" s="22"/>
    </row>
    <row r="5834" spans="1:1">
      <c r="A5834" s="22"/>
    </row>
    <row r="5835" spans="1:1">
      <c r="A5835" s="22"/>
    </row>
    <row r="5836" spans="1:1">
      <c r="A5836" s="22"/>
    </row>
    <row r="5837" spans="1:1">
      <c r="A5837" s="22"/>
    </row>
    <row r="5838" spans="1:1">
      <c r="A5838" s="22"/>
    </row>
    <row r="5839" spans="1:1">
      <c r="A5839" s="22"/>
    </row>
    <row r="5840" spans="1:1">
      <c r="A5840" s="22"/>
    </row>
    <row r="5841" spans="1:1">
      <c r="A5841" s="22"/>
    </row>
    <row r="5842" spans="1:1">
      <c r="A5842" s="22"/>
    </row>
    <row r="5843" spans="1:1">
      <c r="A5843" s="22"/>
    </row>
    <row r="5844" spans="1:1">
      <c r="A5844" s="22"/>
    </row>
    <row r="5845" spans="1:1">
      <c r="A5845" s="22"/>
    </row>
    <row r="5846" spans="1:1">
      <c r="A5846" s="22"/>
    </row>
    <row r="5847" spans="1:1">
      <c r="A5847" s="22"/>
    </row>
    <row r="5848" spans="1:1">
      <c r="A5848" s="22"/>
    </row>
    <row r="5849" spans="1:1">
      <c r="A5849" s="22"/>
    </row>
    <row r="5850" spans="1:1">
      <c r="A5850" s="22"/>
    </row>
    <row r="5851" spans="1:1">
      <c r="A5851" s="22"/>
    </row>
    <row r="5852" spans="1:1">
      <c r="A5852" s="22"/>
    </row>
    <row r="5853" spans="1:1">
      <c r="A5853" s="22"/>
    </row>
    <row r="5854" spans="1:1">
      <c r="A5854" s="22"/>
    </row>
    <row r="5855" spans="1:1">
      <c r="A5855" s="22"/>
    </row>
    <row r="5856" spans="1:1">
      <c r="A5856" s="22"/>
    </row>
    <row r="5857" spans="1:1">
      <c r="A5857" s="22"/>
    </row>
    <row r="5858" spans="1:1">
      <c r="A5858" s="22"/>
    </row>
    <row r="5859" spans="1:1">
      <c r="A5859" s="22"/>
    </row>
    <row r="5860" spans="1:1">
      <c r="A5860" s="22"/>
    </row>
    <row r="5861" spans="1:1">
      <c r="A5861" s="22"/>
    </row>
    <row r="5862" spans="1:1">
      <c r="A5862" s="22"/>
    </row>
    <row r="5863" spans="1:1">
      <c r="A5863" s="22"/>
    </row>
    <row r="5864" spans="1:1">
      <c r="A5864" s="22"/>
    </row>
    <row r="5865" spans="1:1">
      <c r="A5865" s="22"/>
    </row>
    <row r="5866" spans="1:1">
      <c r="A5866" s="22"/>
    </row>
    <row r="5867" spans="1:1">
      <c r="A5867" s="22"/>
    </row>
    <row r="5868" spans="1:1">
      <c r="A5868" s="22"/>
    </row>
    <row r="5869" spans="1:1">
      <c r="A5869" s="22"/>
    </row>
    <row r="5870" spans="1:1">
      <c r="A5870" s="22"/>
    </row>
    <row r="5871" spans="1:1">
      <c r="A5871" s="22"/>
    </row>
    <row r="5872" spans="1:1">
      <c r="A5872" s="22"/>
    </row>
    <row r="5873" spans="1:1">
      <c r="A5873" s="22"/>
    </row>
    <row r="5874" spans="1:1">
      <c r="A5874" s="22"/>
    </row>
    <row r="5875" spans="1:1">
      <c r="A5875" s="22"/>
    </row>
    <row r="5876" spans="1:1">
      <c r="A5876" s="22"/>
    </row>
    <row r="5877" spans="1:1">
      <c r="A5877" s="22"/>
    </row>
    <row r="5878" spans="1:1">
      <c r="A5878" s="22"/>
    </row>
    <row r="5879" spans="1:1">
      <c r="A5879" s="22"/>
    </row>
    <row r="5880" spans="1:1">
      <c r="A5880" s="22"/>
    </row>
    <row r="5881" spans="1:1">
      <c r="A5881" s="22"/>
    </row>
    <row r="5882" spans="1:1">
      <c r="A5882" s="22"/>
    </row>
    <row r="5883" spans="1:1">
      <c r="A5883" s="22"/>
    </row>
    <row r="5884" spans="1:1">
      <c r="A5884" s="22"/>
    </row>
    <row r="5885" spans="1:1">
      <c r="A5885" s="22"/>
    </row>
    <row r="5886" spans="1:1">
      <c r="A5886" s="22"/>
    </row>
    <row r="5887" spans="1:1">
      <c r="A5887" s="22"/>
    </row>
    <row r="5888" spans="1:1">
      <c r="A5888" s="22"/>
    </row>
    <row r="5889" spans="1:1">
      <c r="A5889" s="22"/>
    </row>
    <row r="5890" spans="1:1">
      <c r="A5890" s="22"/>
    </row>
    <row r="5891" spans="1:1">
      <c r="A5891" s="22"/>
    </row>
    <row r="5892" spans="1:1">
      <c r="A5892" s="22"/>
    </row>
    <row r="5893" spans="1:1">
      <c r="A5893" s="22"/>
    </row>
    <row r="5894" spans="1:1">
      <c r="A5894" s="22"/>
    </row>
    <row r="5895" spans="1:1">
      <c r="A5895" s="22"/>
    </row>
    <row r="5896" spans="1:1">
      <c r="A5896" s="22"/>
    </row>
    <row r="5897" spans="1:1">
      <c r="A5897" s="22"/>
    </row>
    <row r="5898" spans="1:1">
      <c r="A5898" s="22"/>
    </row>
    <row r="5899" spans="1:1">
      <c r="A5899" s="22"/>
    </row>
    <row r="5900" spans="1:1">
      <c r="A5900" s="22"/>
    </row>
    <row r="5901" spans="1:1">
      <c r="A5901" s="22"/>
    </row>
    <row r="5902" spans="1:1">
      <c r="A5902" s="22"/>
    </row>
    <row r="5903" spans="1:1">
      <c r="A5903" s="22"/>
    </row>
    <row r="5904" spans="1:1">
      <c r="A5904" s="22"/>
    </row>
    <row r="5905" spans="1:1">
      <c r="A5905" s="22"/>
    </row>
    <row r="5906" spans="1:1">
      <c r="A5906" s="22"/>
    </row>
    <row r="5907" spans="1:1">
      <c r="A5907" s="22"/>
    </row>
    <row r="5908" spans="1:1">
      <c r="A5908" s="22"/>
    </row>
    <row r="5909" spans="1:1">
      <c r="A5909" s="22"/>
    </row>
    <row r="5910" spans="1:1">
      <c r="A5910" s="22"/>
    </row>
    <row r="5911" spans="1:1">
      <c r="A5911" s="22"/>
    </row>
    <row r="5912" spans="1:1">
      <c r="A5912" s="22"/>
    </row>
    <row r="5913" spans="1:1">
      <c r="A5913" s="22"/>
    </row>
    <row r="5914" spans="1:1">
      <c r="A5914" s="22"/>
    </row>
    <row r="5915" spans="1:1">
      <c r="A5915" s="22"/>
    </row>
    <row r="5916" spans="1:1">
      <c r="A5916" s="22"/>
    </row>
    <row r="5917" spans="1:1">
      <c r="A5917" s="22"/>
    </row>
    <row r="5918" spans="1:1">
      <c r="A5918" s="22"/>
    </row>
    <row r="5919" spans="1:1">
      <c r="A5919" s="22"/>
    </row>
    <row r="5920" spans="1:1">
      <c r="A5920" s="22"/>
    </row>
    <row r="5921" spans="1:1">
      <c r="A5921" s="22"/>
    </row>
    <row r="5922" spans="1:1">
      <c r="A5922" s="22"/>
    </row>
    <row r="5923" spans="1:1">
      <c r="A5923" s="22"/>
    </row>
    <row r="5924" spans="1:1">
      <c r="A5924" s="22"/>
    </row>
    <row r="5925" spans="1:1">
      <c r="A5925" s="22"/>
    </row>
    <row r="5926" spans="1:1">
      <c r="A5926" s="22"/>
    </row>
    <row r="5927" spans="1:1">
      <c r="A5927" s="22"/>
    </row>
    <row r="5928" spans="1:1">
      <c r="A5928" s="22"/>
    </row>
    <row r="5929" spans="1:1">
      <c r="A5929" s="22"/>
    </row>
    <row r="5930" spans="1:1">
      <c r="A5930" s="22"/>
    </row>
    <row r="5931" spans="1:1">
      <c r="A5931" s="22"/>
    </row>
    <row r="5932" spans="1:1">
      <c r="A5932" s="22"/>
    </row>
    <row r="5933" spans="1:1">
      <c r="A5933" s="22"/>
    </row>
    <row r="5934" spans="1:1">
      <c r="A5934" s="22"/>
    </row>
    <row r="5935" spans="1:1">
      <c r="A5935" s="22"/>
    </row>
    <row r="5936" spans="1:1">
      <c r="A5936" s="22"/>
    </row>
    <row r="5937" spans="1:1">
      <c r="A5937" s="22"/>
    </row>
    <row r="5938" spans="1:1">
      <c r="A5938" s="22"/>
    </row>
    <row r="5939" spans="1:1">
      <c r="A5939" s="22"/>
    </row>
    <row r="5940" spans="1:1">
      <c r="A5940" s="22"/>
    </row>
    <row r="5941" spans="1:1">
      <c r="A5941" s="22"/>
    </row>
    <row r="5942" spans="1:1">
      <c r="A5942" s="22"/>
    </row>
    <row r="5943" spans="1:1">
      <c r="A5943" s="22"/>
    </row>
    <row r="5944" spans="1:1">
      <c r="A5944" s="22"/>
    </row>
    <row r="5945" spans="1:1">
      <c r="A5945" s="22"/>
    </row>
    <row r="5946" spans="1:1">
      <c r="A5946" s="22"/>
    </row>
    <row r="5947" spans="1:1">
      <c r="A5947" s="22"/>
    </row>
    <row r="5948" spans="1:1">
      <c r="A5948" s="22"/>
    </row>
    <row r="5949" spans="1:1">
      <c r="A5949" s="22"/>
    </row>
    <row r="5950" spans="1:1">
      <c r="A5950" s="22"/>
    </row>
    <row r="5951" spans="1:1">
      <c r="A5951" s="22"/>
    </row>
    <row r="5952" spans="1:1">
      <c r="A5952" s="22"/>
    </row>
    <row r="5953" spans="1:1">
      <c r="A5953" s="22"/>
    </row>
    <row r="5954" spans="1:1">
      <c r="A5954" s="22"/>
    </row>
    <row r="5955" spans="1:1">
      <c r="A5955" s="22"/>
    </row>
    <row r="5956" spans="1:1">
      <c r="A5956" s="22"/>
    </row>
    <row r="5957" spans="1:1">
      <c r="A5957" s="22"/>
    </row>
    <row r="5958" spans="1:1">
      <c r="A5958" s="22"/>
    </row>
    <row r="5959" spans="1:1">
      <c r="A5959" s="22"/>
    </row>
    <row r="5960" spans="1:1">
      <c r="A5960" s="22"/>
    </row>
    <row r="5961" spans="1:1">
      <c r="A5961" s="22"/>
    </row>
    <row r="5962" spans="1:1">
      <c r="A5962" s="22"/>
    </row>
    <row r="5963" spans="1:1">
      <c r="A5963" s="22"/>
    </row>
    <row r="5964" spans="1:1">
      <c r="A5964" s="22"/>
    </row>
    <row r="5965" spans="1:1">
      <c r="A5965" s="22"/>
    </row>
    <row r="5966" spans="1:1">
      <c r="A5966" s="22"/>
    </row>
    <row r="5967" spans="1:1">
      <c r="A5967" s="22"/>
    </row>
    <row r="5968" spans="1:1">
      <c r="A5968" s="22"/>
    </row>
    <row r="5969" spans="1:1">
      <c r="A5969" s="22"/>
    </row>
    <row r="5970" spans="1:1">
      <c r="A5970" s="22"/>
    </row>
    <row r="5971" spans="1:1">
      <c r="A5971" s="22"/>
    </row>
    <row r="5972" spans="1:1">
      <c r="A5972" s="22"/>
    </row>
    <row r="5973" spans="1:1">
      <c r="A5973" s="22"/>
    </row>
    <row r="5974" spans="1:1">
      <c r="A5974" s="22"/>
    </row>
    <row r="5975" spans="1:1">
      <c r="A5975" s="22"/>
    </row>
    <row r="5976" spans="1:1">
      <c r="A5976" s="22"/>
    </row>
    <row r="5977" spans="1:1">
      <c r="A5977" s="22"/>
    </row>
    <row r="5978" spans="1:1">
      <c r="A5978" s="22"/>
    </row>
    <row r="5979" spans="1:1">
      <c r="A5979" s="22"/>
    </row>
    <row r="5980" spans="1:1">
      <c r="A5980" s="22"/>
    </row>
    <row r="5981" spans="1:1">
      <c r="A5981" s="22"/>
    </row>
    <row r="5982" spans="1:1">
      <c r="A5982" s="22"/>
    </row>
    <row r="5983" spans="1:1">
      <c r="A5983" s="22"/>
    </row>
    <row r="5984" spans="1:1">
      <c r="A5984" s="22"/>
    </row>
    <row r="5985" spans="1:1">
      <c r="A5985" s="22"/>
    </row>
    <row r="5986" spans="1:1">
      <c r="A5986" s="22"/>
    </row>
    <row r="5987" spans="1:1">
      <c r="A5987" s="22"/>
    </row>
    <row r="5988" spans="1:1">
      <c r="A5988" s="22"/>
    </row>
    <row r="5989" spans="1:1">
      <c r="A5989" s="22"/>
    </row>
    <row r="5990" spans="1:1">
      <c r="A5990" s="22"/>
    </row>
    <row r="5991" spans="1:1">
      <c r="A5991" s="22"/>
    </row>
    <row r="5992" spans="1:1">
      <c r="A5992" s="22"/>
    </row>
    <row r="5993" spans="1:1">
      <c r="A5993" s="22"/>
    </row>
    <row r="5994" spans="1:1">
      <c r="A5994" s="22"/>
    </row>
    <row r="5995" spans="1:1">
      <c r="A5995" s="22"/>
    </row>
    <row r="5996" spans="1:1">
      <c r="A5996" s="22"/>
    </row>
    <row r="5997" spans="1:1">
      <c r="A5997" s="22"/>
    </row>
    <row r="5998" spans="1:1">
      <c r="A5998" s="22"/>
    </row>
    <row r="5999" spans="1:1">
      <c r="A5999" s="22"/>
    </row>
    <row r="6000" spans="1:1">
      <c r="A6000" s="22"/>
    </row>
    <row r="6001" spans="1:1">
      <c r="A6001" s="22"/>
    </row>
    <row r="6002" spans="1:1">
      <c r="A6002" s="22"/>
    </row>
    <row r="6003" spans="1:1">
      <c r="A6003" s="22"/>
    </row>
    <row r="6004" spans="1:1">
      <c r="A6004" s="22"/>
    </row>
    <row r="6005" spans="1:1">
      <c r="A6005" s="22"/>
    </row>
    <row r="6006" spans="1:1">
      <c r="A6006" s="22"/>
    </row>
    <row r="6007" spans="1:1">
      <c r="A6007" s="22"/>
    </row>
    <row r="6008" spans="1:1">
      <c r="A6008" s="22"/>
    </row>
    <row r="6009" spans="1:1">
      <c r="A6009" s="22"/>
    </row>
    <row r="6010" spans="1:1">
      <c r="A6010" s="22"/>
    </row>
    <row r="6011" spans="1:1">
      <c r="A6011" s="22"/>
    </row>
    <row r="6012" spans="1:1">
      <c r="A6012" s="22"/>
    </row>
    <row r="6013" spans="1:1">
      <c r="A6013" s="22"/>
    </row>
    <row r="6014" spans="1:1">
      <c r="A6014" s="22"/>
    </row>
    <row r="6015" spans="1:1">
      <c r="A6015" s="22"/>
    </row>
    <row r="6016" spans="1:1">
      <c r="A6016" s="22"/>
    </row>
    <row r="6017" spans="1:1">
      <c r="A6017" s="22"/>
    </row>
    <row r="6018" spans="1:1">
      <c r="A6018" s="22"/>
    </row>
    <row r="6019" spans="1:1">
      <c r="A6019" s="22"/>
    </row>
    <row r="6020" spans="1:1">
      <c r="A6020" s="22"/>
    </row>
    <row r="6021" spans="1:1">
      <c r="A6021" s="22"/>
    </row>
    <row r="6022" spans="1:1">
      <c r="A6022" s="22"/>
    </row>
    <row r="6023" spans="1:1">
      <c r="A6023" s="22"/>
    </row>
    <row r="6024" spans="1:1">
      <c r="A6024" s="22"/>
    </row>
    <row r="6025" spans="1:1">
      <c r="A6025" s="22"/>
    </row>
    <row r="6026" spans="1:1">
      <c r="A6026" s="22"/>
    </row>
    <row r="6027" spans="1:1">
      <c r="A6027" s="22"/>
    </row>
    <row r="6028" spans="1:1">
      <c r="A6028" s="22"/>
    </row>
    <row r="6029" spans="1:1">
      <c r="A6029" s="22"/>
    </row>
    <row r="6030" spans="1:1">
      <c r="A6030" s="22"/>
    </row>
    <row r="6031" spans="1:1">
      <c r="A6031" s="22"/>
    </row>
    <row r="6032" spans="1:1">
      <c r="A6032" s="22"/>
    </row>
    <row r="6033" spans="1:1">
      <c r="A6033" s="22"/>
    </row>
    <row r="6034" spans="1:1">
      <c r="A6034" s="22"/>
    </row>
    <row r="6035" spans="1:1">
      <c r="A6035" s="22"/>
    </row>
    <row r="6036" spans="1:1">
      <c r="A6036" s="22"/>
    </row>
    <row r="6037" spans="1:1">
      <c r="A6037" s="22"/>
    </row>
    <row r="6038" spans="1:1">
      <c r="A6038" s="22"/>
    </row>
    <row r="6039" spans="1:1">
      <c r="A6039" s="22"/>
    </row>
    <row r="6040" spans="1:1">
      <c r="A6040" s="22"/>
    </row>
    <row r="6041" spans="1:1">
      <c r="A6041" s="22"/>
    </row>
    <row r="6042" spans="1:1">
      <c r="A6042" s="22"/>
    </row>
    <row r="6043" spans="1:1">
      <c r="A6043" s="22"/>
    </row>
    <row r="6044" spans="1:1">
      <c r="A6044" s="22"/>
    </row>
    <row r="6045" spans="1:1">
      <c r="A6045" s="22"/>
    </row>
    <row r="6046" spans="1:1">
      <c r="A6046" s="22"/>
    </row>
    <row r="6047" spans="1:1">
      <c r="A6047" s="22"/>
    </row>
    <row r="6048" spans="1:1">
      <c r="A6048" s="22"/>
    </row>
    <row r="6049" spans="1:1">
      <c r="A6049" s="22"/>
    </row>
    <row r="6050" spans="1:1">
      <c r="A6050" s="22"/>
    </row>
    <row r="6051" spans="1:1">
      <c r="A6051" s="22"/>
    </row>
    <row r="6052" spans="1:1">
      <c r="A6052" s="22"/>
    </row>
    <row r="6053" spans="1:1">
      <c r="A6053" s="22"/>
    </row>
    <row r="6054" spans="1:1">
      <c r="A6054" s="22"/>
    </row>
    <row r="6055" spans="1:1">
      <c r="A6055" s="22"/>
    </row>
    <row r="6056" spans="1:1">
      <c r="A6056" s="22"/>
    </row>
    <row r="6057" spans="1:1">
      <c r="A6057" s="22"/>
    </row>
    <row r="6058" spans="1:1">
      <c r="A6058" s="22"/>
    </row>
    <row r="6059" spans="1:1">
      <c r="A6059" s="22"/>
    </row>
    <row r="6060" spans="1:1">
      <c r="A6060" s="22"/>
    </row>
    <row r="6061" spans="1:1">
      <c r="A6061" s="22"/>
    </row>
    <row r="6062" spans="1:1">
      <c r="A6062" s="22"/>
    </row>
    <row r="6063" spans="1:1">
      <c r="A6063" s="22"/>
    </row>
    <row r="6064" spans="1:1">
      <c r="A6064" s="22"/>
    </row>
    <row r="6065" spans="1:1">
      <c r="A6065" s="22"/>
    </row>
    <row r="6066" spans="1:1">
      <c r="A6066" s="22"/>
    </row>
    <row r="6067" spans="1:1">
      <c r="A6067" s="22"/>
    </row>
    <row r="6068" spans="1:1">
      <c r="A6068" s="22"/>
    </row>
    <row r="6069" spans="1:1">
      <c r="A6069" s="22"/>
    </row>
    <row r="6070" spans="1:1">
      <c r="A6070" s="22"/>
    </row>
    <row r="6071" spans="1:1">
      <c r="A6071" s="22"/>
    </row>
    <row r="6072" spans="1:1">
      <c r="A6072" s="22"/>
    </row>
    <row r="6073" spans="1:1">
      <c r="A6073" s="22"/>
    </row>
    <row r="6074" spans="1:1">
      <c r="A6074" s="22"/>
    </row>
    <row r="6075" spans="1:1">
      <c r="A6075" s="22"/>
    </row>
    <row r="6076" spans="1:1">
      <c r="A6076" s="22"/>
    </row>
    <row r="6077" spans="1:1">
      <c r="A6077" s="22"/>
    </row>
    <row r="6078" spans="1:1">
      <c r="A6078" s="22"/>
    </row>
    <row r="6079" spans="1:1">
      <c r="A6079" s="22"/>
    </row>
    <row r="6080" spans="1:1">
      <c r="A6080" s="22"/>
    </row>
    <row r="6081" spans="1:1">
      <c r="A6081" s="22"/>
    </row>
    <row r="6082" spans="1:1">
      <c r="A6082" s="22"/>
    </row>
    <row r="6083" spans="1:1">
      <c r="A6083" s="22"/>
    </row>
    <row r="6084" spans="1:1">
      <c r="A6084" s="22"/>
    </row>
    <row r="6085" spans="1:1">
      <c r="A6085" s="22"/>
    </row>
    <row r="6086" spans="1:1">
      <c r="A6086" s="22"/>
    </row>
    <row r="6087" spans="1:1">
      <c r="A6087" s="22"/>
    </row>
    <row r="6088" spans="1:1">
      <c r="A6088" s="22"/>
    </row>
    <row r="6089" spans="1:1">
      <c r="A6089" s="22"/>
    </row>
    <row r="6090" spans="1:1">
      <c r="A6090" s="22"/>
    </row>
    <row r="6091" spans="1:1">
      <c r="A6091" s="22"/>
    </row>
    <row r="6092" spans="1:1">
      <c r="A6092" s="22"/>
    </row>
    <row r="6093" spans="1:1">
      <c r="A6093" s="22"/>
    </row>
    <row r="6094" spans="1:1">
      <c r="A6094" s="22"/>
    </row>
    <row r="6095" spans="1:1">
      <c r="A6095" s="22"/>
    </row>
    <row r="6096" spans="1:1">
      <c r="A6096" s="22"/>
    </row>
    <row r="6097" spans="1:1">
      <c r="A6097" s="22"/>
    </row>
    <row r="6098" spans="1:1">
      <c r="A6098" s="22"/>
    </row>
    <row r="6099" spans="1:1">
      <c r="A6099" s="22"/>
    </row>
    <row r="6100" spans="1:1">
      <c r="A6100" s="22"/>
    </row>
    <row r="6101" spans="1:1">
      <c r="A6101" s="22"/>
    </row>
    <row r="6102" spans="1:1">
      <c r="A6102" s="22"/>
    </row>
    <row r="6103" spans="1:1">
      <c r="A6103" s="22"/>
    </row>
    <row r="6104" spans="1:1">
      <c r="A6104" s="22"/>
    </row>
    <row r="6105" spans="1:1">
      <c r="A6105" s="22"/>
    </row>
    <row r="6106" spans="1:1">
      <c r="A6106" s="22"/>
    </row>
    <row r="6107" spans="1:1">
      <c r="A6107" s="22"/>
    </row>
    <row r="6108" spans="1:1">
      <c r="A6108" s="22"/>
    </row>
    <row r="6109" spans="1:1">
      <c r="A6109" s="22"/>
    </row>
    <row r="6110" spans="1:1">
      <c r="A6110" s="22"/>
    </row>
    <row r="6111" spans="1:1">
      <c r="A6111" s="22"/>
    </row>
    <row r="6112" spans="1:1">
      <c r="A6112" s="22"/>
    </row>
    <row r="6113" spans="1:1">
      <c r="A6113" s="22"/>
    </row>
    <row r="6114" spans="1:1">
      <c r="A6114" s="22"/>
    </row>
    <row r="6115" spans="1:1">
      <c r="A6115" s="22"/>
    </row>
    <row r="6116" spans="1:1">
      <c r="A6116" s="22"/>
    </row>
    <row r="6117" spans="1:1">
      <c r="A6117" s="22"/>
    </row>
    <row r="6118" spans="1:1">
      <c r="A6118" s="22"/>
    </row>
    <row r="6119" spans="1:1">
      <c r="A6119" s="22"/>
    </row>
    <row r="6120" spans="1:1">
      <c r="A6120" s="22"/>
    </row>
    <row r="6121" spans="1:1">
      <c r="A6121" s="22"/>
    </row>
    <row r="6122" spans="1:1">
      <c r="A6122" s="22"/>
    </row>
    <row r="6123" spans="1:1">
      <c r="A6123" s="22"/>
    </row>
    <row r="6124" spans="1:1">
      <c r="A6124" s="22"/>
    </row>
    <row r="6125" spans="1:1">
      <c r="A6125" s="22"/>
    </row>
    <row r="6126" spans="1:1">
      <c r="A6126" s="22"/>
    </row>
    <row r="6127" spans="1:1">
      <c r="A6127" s="22"/>
    </row>
    <row r="6128" spans="1:1">
      <c r="A6128" s="22"/>
    </row>
    <row r="6129" spans="1:1">
      <c r="A6129" s="22"/>
    </row>
    <row r="6130" spans="1:1">
      <c r="A6130" s="22"/>
    </row>
    <row r="6131" spans="1:1">
      <c r="A6131" s="22"/>
    </row>
    <row r="6132" spans="1:1">
      <c r="A6132" s="22"/>
    </row>
    <row r="6133" spans="1:1">
      <c r="A6133" s="22"/>
    </row>
    <row r="6134" spans="1:1">
      <c r="A6134" s="22"/>
    </row>
    <row r="6135" spans="1:1">
      <c r="A6135" s="22"/>
    </row>
    <row r="6136" spans="1:1">
      <c r="A6136" s="22"/>
    </row>
    <row r="6137" spans="1:1">
      <c r="A6137" s="22"/>
    </row>
    <row r="6138" spans="1:1">
      <c r="A6138" s="22"/>
    </row>
    <row r="6139" spans="1:1">
      <c r="A6139" s="22"/>
    </row>
    <row r="6140" spans="1:1">
      <c r="A6140" s="22"/>
    </row>
    <row r="6141" spans="1:1">
      <c r="A6141" s="22"/>
    </row>
    <row r="6142" spans="1:1">
      <c r="A6142" s="22"/>
    </row>
    <row r="6143" spans="1:1">
      <c r="A6143" s="22"/>
    </row>
    <row r="6144" spans="1:1">
      <c r="A6144" s="22"/>
    </row>
    <row r="6145" spans="1:1">
      <c r="A6145" s="22"/>
    </row>
    <row r="6146" spans="1:1">
      <c r="A6146" s="22"/>
    </row>
    <row r="6147" spans="1:1">
      <c r="A6147" s="22"/>
    </row>
    <row r="6148" spans="1:1">
      <c r="A6148" s="22"/>
    </row>
    <row r="6149" spans="1:1">
      <c r="A6149" s="22"/>
    </row>
    <row r="6150" spans="1:1">
      <c r="A6150" s="22"/>
    </row>
    <row r="6151" spans="1:1">
      <c r="A6151" s="22"/>
    </row>
    <row r="6152" spans="1:1">
      <c r="A6152" s="22"/>
    </row>
    <row r="6153" spans="1:1">
      <c r="A6153" s="22"/>
    </row>
    <row r="6154" spans="1:1">
      <c r="A6154" s="22"/>
    </row>
    <row r="6155" spans="1:1">
      <c r="A6155" s="22"/>
    </row>
    <row r="6156" spans="1:1">
      <c r="A6156" s="22"/>
    </row>
    <row r="6157" spans="1:1">
      <c r="A6157" s="22"/>
    </row>
    <row r="6158" spans="1:1">
      <c r="A6158" s="22"/>
    </row>
    <row r="6159" spans="1:1">
      <c r="A6159" s="22"/>
    </row>
    <row r="6160" spans="1:1">
      <c r="A6160" s="22"/>
    </row>
    <row r="6161" spans="1:1">
      <c r="A6161" s="22"/>
    </row>
    <row r="6162" spans="1:1">
      <c r="A6162" s="22"/>
    </row>
    <row r="6163" spans="1:1">
      <c r="A6163" s="22"/>
    </row>
    <row r="6164" spans="1:1">
      <c r="A6164" s="22"/>
    </row>
    <row r="6165" spans="1:1">
      <c r="A6165" s="22"/>
    </row>
    <row r="6166" spans="1:1">
      <c r="A6166" s="22"/>
    </row>
    <row r="6167" spans="1:1">
      <c r="A6167" s="22"/>
    </row>
    <row r="6168" spans="1:1">
      <c r="A6168" s="22"/>
    </row>
    <row r="6169" spans="1:1">
      <c r="A6169" s="22"/>
    </row>
    <row r="6170" spans="1:1">
      <c r="A6170" s="22"/>
    </row>
    <row r="6171" spans="1:1">
      <c r="A6171" s="22"/>
    </row>
    <row r="6172" spans="1:1">
      <c r="A6172" s="22"/>
    </row>
    <row r="6173" spans="1:1">
      <c r="A6173" s="22"/>
    </row>
    <row r="6174" spans="1:1">
      <c r="A6174" s="22"/>
    </row>
    <row r="6175" spans="1:1">
      <c r="A6175" s="22"/>
    </row>
    <row r="6176" spans="1:1">
      <c r="A6176" s="22"/>
    </row>
    <row r="6177" spans="1:1">
      <c r="A6177" s="22"/>
    </row>
    <row r="6178" spans="1:1">
      <c r="A6178" s="22"/>
    </row>
    <row r="6179" spans="1:1">
      <c r="A6179" s="22"/>
    </row>
    <row r="6180" spans="1:1">
      <c r="A6180" s="22"/>
    </row>
    <row r="6181" spans="1:1">
      <c r="A6181" s="22"/>
    </row>
    <row r="6182" spans="1:1">
      <c r="A6182" s="22"/>
    </row>
    <row r="6183" spans="1:1">
      <c r="A6183" s="22"/>
    </row>
    <row r="6184" spans="1:1">
      <c r="A6184" s="22"/>
    </row>
    <row r="6185" spans="1:1">
      <c r="A6185" s="22"/>
    </row>
    <row r="6186" spans="1:1">
      <c r="A6186" s="22"/>
    </row>
    <row r="6187" spans="1:1">
      <c r="A6187" s="22"/>
    </row>
    <row r="6188" spans="1:1">
      <c r="A6188" s="22"/>
    </row>
    <row r="6189" spans="1:1">
      <c r="A6189" s="22"/>
    </row>
    <row r="6190" spans="1:1">
      <c r="A6190" s="22"/>
    </row>
    <row r="6191" spans="1:1">
      <c r="A6191" s="22"/>
    </row>
    <row r="6192" spans="1:1">
      <c r="A6192" s="22"/>
    </row>
    <row r="6193" spans="1:1">
      <c r="A6193" s="22"/>
    </row>
    <row r="6194" spans="1:1">
      <c r="A6194" s="22"/>
    </row>
    <row r="6195" spans="1:1">
      <c r="A6195" s="22"/>
    </row>
    <row r="6196" spans="1:1">
      <c r="A6196" s="22"/>
    </row>
    <row r="6197" spans="1:1">
      <c r="A6197" s="22"/>
    </row>
    <row r="6198" spans="1:1">
      <c r="A6198" s="22"/>
    </row>
    <row r="6199" spans="1:1">
      <c r="A6199" s="22"/>
    </row>
    <row r="6200" spans="1:1">
      <c r="A6200" s="22"/>
    </row>
    <row r="6201" spans="1:1">
      <c r="A6201" s="22"/>
    </row>
    <row r="6202" spans="1:1">
      <c r="A6202" s="22"/>
    </row>
    <row r="6203" spans="1:1">
      <c r="A6203" s="22"/>
    </row>
    <row r="6204" spans="1:1">
      <c r="A6204" s="22"/>
    </row>
    <row r="6205" spans="1:1">
      <c r="A6205" s="22"/>
    </row>
    <row r="6206" spans="1:1">
      <c r="A6206" s="22"/>
    </row>
    <row r="6207" spans="1:1">
      <c r="A6207" s="22"/>
    </row>
    <row r="6208" spans="1:1">
      <c r="A6208" s="22"/>
    </row>
    <row r="6209" spans="1:1">
      <c r="A6209" s="22"/>
    </row>
    <row r="6210" spans="1:1">
      <c r="A6210" s="22"/>
    </row>
    <row r="6211" spans="1:1">
      <c r="A6211" s="22"/>
    </row>
    <row r="6212" spans="1:1">
      <c r="A6212" s="22"/>
    </row>
    <row r="6213" spans="1:1">
      <c r="A6213" s="22"/>
    </row>
    <row r="6214" spans="1:1">
      <c r="A6214" s="22"/>
    </row>
    <row r="6215" spans="1:1">
      <c r="A6215" s="22"/>
    </row>
    <row r="6216" spans="1:1">
      <c r="A6216" s="22"/>
    </row>
    <row r="6217" spans="1:1">
      <c r="A6217" s="22"/>
    </row>
    <row r="6218" spans="1:1">
      <c r="A6218" s="22"/>
    </row>
    <row r="6219" spans="1:1">
      <c r="A6219" s="22"/>
    </row>
    <row r="6220" spans="1:1">
      <c r="A6220" s="22"/>
    </row>
    <row r="6221" spans="1:1">
      <c r="A6221" s="22"/>
    </row>
    <row r="6222" spans="1:1">
      <c r="A6222" s="22"/>
    </row>
    <row r="6223" spans="1:1">
      <c r="A6223" s="22"/>
    </row>
    <row r="6224" spans="1:1">
      <c r="A6224" s="22"/>
    </row>
    <row r="6225" spans="1:1">
      <c r="A6225" s="22"/>
    </row>
    <row r="6226" spans="1:1">
      <c r="A6226" s="22"/>
    </row>
    <row r="6227" spans="1:1">
      <c r="A6227" s="22"/>
    </row>
    <row r="6228" spans="1:1">
      <c r="A6228" s="22"/>
    </row>
    <row r="6229" spans="1:1">
      <c r="A6229" s="22"/>
    </row>
    <row r="6230" spans="1:1">
      <c r="A6230" s="22"/>
    </row>
    <row r="6231" spans="1:1">
      <c r="A6231" s="22"/>
    </row>
    <row r="6232" spans="1:1">
      <c r="A6232" s="22"/>
    </row>
    <row r="6233" spans="1:1">
      <c r="A6233" s="22"/>
    </row>
    <row r="6234" spans="1:1">
      <c r="A6234" s="22"/>
    </row>
    <row r="6235" spans="1:1">
      <c r="A6235" s="22"/>
    </row>
    <row r="6236" spans="1:1">
      <c r="A6236" s="22"/>
    </row>
    <row r="6237" spans="1:1">
      <c r="A6237" s="22"/>
    </row>
    <row r="6238" spans="1:1">
      <c r="A6238" s="22"/>
    </row>
    <row r="6239" spans="1:1">
      <c r="A6239" s="22"/>
    </row>
    <row r="6240" spans="1:1">
      <c r="A6240" s="22"/>
    </row>
    <row r="6241" spans="1:1">
      <c r="A6241" s="22"/>
    </row>
    <row r="6242" spans="1:1">
      <c r="A6242" s="22"/>
    </row>
    <row r="6243" spans="1:1">
      <c r="A6243" s="22"/>
    </row>
    <row r="6244" spans="1:1">
      <c r="A6244" s="22"/>
    </row>
    <row r="6245" spans="1:1">
      <c r="A6245" s="22"/>
    </row>
    <row r="6246" spans="1:1">
      <c r="A6246" s="22"/>
    </row>
    <row r="6247" spans="1:1">
      <c r="A6247" s="22"/>
    </row>
    <row r="6248" spans="1:1">
      <c r="A6248" s="22"/>
    </row>
    <row r="6249" spans="1:1">
      <c r="A6249" s="22"/>
    </row>
    <row r="6250" spans="1:1">
      <c r="A6250" s="22"/>
    </row>
    <row r="6251" spans="1:1">
      <c r="A6251" s="22"/>
    </row>
    <row r="6252" spans="1:1">
      <c r="A6252" s="22"/>
    </row>
    <row r="6253" spans="1:1">
      <c r="A6253" s="22"/>
    </row>
    <row r="6254" spans="1:1">
      <c r="A6254" s="22"/>
    </row>
    <row r="6255" spans="1:1">
      <c r="A6255" s="22"/>
    </row>
    <row r="6256" spans="1:1">
      <c r="A6256" s="22"/>
    </row>
    <row r="6257" spans="1:1">
      <c r="A6257" s="22"/>
    </row>
    <row r="6258" spans="1:1">
      <c r="A6258" s="22"/>
    </row>
    <row r="6259" spans="1:1">
      <c r="A6259" s="22"/>
    </row>
    <row r="6260" spans="1:1">
      <c r="A6260" s="22"/>
    </row>
    <row r="6261" spans="1:1">
      <c r="A6261" s="22"/>
    </row>
    <row r="6262" spans="1:1">
      <c r="A6262" s="22"/>
    </row>
    <row r="6263" spans="1:1">
      <c r="A6263" s="22"/>
    </row>
    <row r="6264" spans="1:1">
      <c r="A6264" s="22"/>
    </row>
    <row r="6265" spans="1:1">
      <c r="A6265" s="22"/>
    </row>
    <row r="6266" spans="1:1">
      <c r="A6266" s="22"/>
    </row>
    <row r="6267" spans="1:1">
      <c r="A6267" s="22"/>
    </row>
    <row r="6268" spans="1:1">
      <c r="A6268" s="22"/>
    </row>
    <row r="6269" spans="1:1">
      <c r="A6269" s="22"/>
    </row>
    <row r="6270" spans="1:1">
      <c r="A6270" s="22"/>
    </row>
    <row r="6271" spans="1:1">
      <c r="A6271" s="22"/>
    </row>
    <row r="6272" spans="1:1">
      <c r="A6272" s="22"/>
    </row>
    <row r="6273" spans="1:1">
      <c r="A6273" s="22"/>
    </row>
    <row r="6274" spans="1:1">
      <c r="A6274" s="22"/>
    </row>
    <row r="6275" spans="1:1">
      <c r="A6275" s="22"/>
    </row>
    <row r="6276" spans="1:1">
      <c r="A6276" s="22"/>
    </row>
    <row r="6277" spans="1:1">
      <c r="A6277" s="22"/>
    </row>
    <row r="6278" spans="1:1">
      <c r="A6278" s="22"/>
    </row>
    <row r="6279" spans="1:1">
      <c r="A6279" s="22"/>
    </row>
    <row r="6280" spans="1:1">
      <c r="A6280" s="22"/>
    </row>
    <row r="6281" spans="1:1">
      <c r="A6281" s="22"/>
    </row>
    <row r="6282" spans="1:1">
      <c r="A6282" s="22"/>
    </row>
    <row r="6283" spans="1:1">
      <c r="A6283" s="22"/>
    </row>
    <row r="6284" spans="1:1">
      <c r="A6284" s="22"/>
    </row>
    <row r="6285" spans="1:1">
      <c r="A6285" s="22"/>
    </row>
    <row r="6286" spans="1:1">
      <c r="A6286" s="22"/>
    </row>
    <row r="6287" spans="1:1">
      <c r="A6287" s="22"/>
    </row>
    <row r="6288" spans="1:1">
      <c r="A6288" s="22"/>
    </row>
    <row r="6289" spans="1:1">
      <c r="A6289" s="22"/>
    </row>
    <row r="6290" spans="1:1">
      <c r="A6290" s="22"/>
    </row>
    <row r="6291" spans="1:1">
      <c r="A6291" s="22"/>
    </row>
    <row r="6292" spans="1:1">
      <c r="A6292" s="22"/>
    </row>
    <row r="6293" spans="1:1">
      <c r="A6293" s="22"/>
    </row>
    <row r="6294" spans="1:1">
      <c r="A6294" s="22"/>
    </row>
    <row r="6295" spans="1:1">
      <c r="A6295" s="22"/>
    </row>
    <row r="6296" spans="1:1">
      <c r="A6296" s="22"/>
    </row>
    <row r="6297" spans="1:1">
      <c r="A6297" s="22"/>
    </row>
    <row r="6298" spans="1:1">
      <c r="A6298" s="22"/>
    </row>
    <row r="6299" spans="1:1">
      <c r="A6299" s="22"/>
    </row>
    <row r="6300" spans="1:1">
      <c r="A6300" s="22"/>
    </row>
    <row r="6301" spans="1:1">
      <c r="A6301" s="22"/>
    </row>
    <row r="6302" spans="1:1">
      <c r="A6302" s="22"/>
    </row>
    <row r="6303" spans="1:1">
      <c r="A6303" s="22"/>
    </row>
    <row r="6304" spans="1:1">
      <c r="A6304" s="22"/>
    </row>
    <row r="6305" spans="1:1">
      <c r="A6305" s="22"/>
    </row>
    <row r="6306" spans="1:1">
      <c r="A6306" s="22"/>
    </row>
    <row r="6307" spans="1:1">
      <c r="A6307" s="22"/>
    </row>
    <row r="6308" spans="1:1">
      <c r="A6308" s="22"/>
    </row>
    <row r="6309" spans="1:1">
      <c r="A6309" s="22"/>
    </row>
    <row r="6310" spans="1:1">
      <c r="A6310" s="22"/>
    </row>
    <row r="6311" spans="1:1">
      <c r="A6311" s="22"/>
    </row>
    <row r="6312" spans="1:1">
      <c r="A6312" s="22"/>
    </row>
    <row r="6313" spans="1:1">
      <c r="A6313" s="22"/>
    </row>
    <row r="6314" spans="1:1">
      <c r="A6314" s="22"/>
    </row>
    <row r="6315" spans="1:1">
      <c r="A6315" s="22"/>
    </row>
    <row r="6316" spans="1:1">
      <c r="A6316" s="22"/>
    </row>
    <row r="6317" spans="1:1">
      <c r="A6317" s="22"/>
    </row>
    <row r="6318" spans="1:1">
      <c r="A6318" s="22"/>
    </row>
    <row r="6319" spans="1:1">
      <c r="A6319" s="22"/>
    </row>
    <row r="6320" spans="1:1">
      <c r="A6320" s="22"/>
    </row>
    <row r="6321" spans="1:1">
      <c r="A6321" s="22"/>
    </row>
    <row r="6322" spans="1:1">
      <c r="A6322" s="22"/>
    </row>
    <row r="6323" spans="1:1">
      <c r="A6323" s="22"/>
    </row>
    <row r="6324" spans="1:1">
      <c r="A6324" s="22"/>
    </row>
    <row r="6325" spans="1:1">
      <c r="A6325" s="22"/>
    </row>
    <row r="6326" spans="1:1">
      <c r="A6326" s="22"/>
    </row>
    <row r="6327" spans="1:1">
      <c r="A6327" s="22"/>
    </row>
    <row r="6328" spans="1:1">
      <c r="A6328" s="22"/>
    </row>
    <row r="6329" spans="1:1">
      <c r="A6329" s="22"/>
    </row>
    <row r="6330" spans="1:1">
      <c r="A6330" s="22"/>
    </row>
    <row r="6331" spans="1:1">
      <c r="A6331" s="22"/>
    </row>
    <row r="6332" spans="1:1">
      <c r="A6332" s="22"/>
    </row>
    <row r="6333" spans="1:1">
      <c r="A6333" s="22"/>
    </row>
    <row r="6334" spans="1:1">
      <c r="A6334" s="22"/>
    </row>
    <row r="6335" spans="1:1">
      <c r="A6335" s="22"/>
    </row>
    <row r="6336" spans="1:1">
      <c r="A6336" s="22"/>
    </row>
    <row r="6337" spans="1:1">
      <c r="A6337" s="22"/>
    </row>
    <row r="6338" spans="1:1">
      <c r="A6338" s="22"/>
    </row>
    <row r="6339" spans="1:1">
      <c r="A6339" s="22"/>
    </row>
    <row r="6340" spans="1:1">
      <c r="A6340" s="22"/>
    </row>
    <row r="6341" spans="1:1">
      <c r="A6341" s="22"/>
    </row>
    <row r="6342" spans="1:1">
      <c r="A6342" s="22"/>
    </row>
    <row r="6343" spans="1:1">
      <c r="A6343" s="22"/>
    </row>
    <row r="6344" spans="1:1">
      <c r="A6344" s="22"/>
    </row>
    <row r="6345" spans="1:1">
      <c r="A6345" s="22"/>
    </row>
    <row r="6346" spans="1:1">
      <c r="A6346" s="22"/>
    </row>
    <row r="6347" spans="1:1">
      <c r="A6347" s="22"/>
    </row>
    <row r="6348" spans="1:1">
      <c r="A6348" s="22"/>
    </row>
    <row r="6349" spans="1:1">
      <c r="A6349" s="22"/>
    </row>
    <row r="6350" spans="1:1">
      <c r="A6350" s="22"/>
    </row>
    <row r="6351" spans="1:1">
      <c r="A6351" s="22"/>
    </row>
    <row r="6352" spans="1:1">
      <c r="A6352" s="22"/>
    </row>
    <row r="6353" spans="1:1">
      <c r="A6353" s="22"/>
    </row>
    <row r="6354" spans="1:1">
      <c r="A6354" s="22"/>
    </row>
    <row r="6355" spans="1:1">
      <c r="A6355" s="22"/>
    </row>
    <row r="6356" spans="1:1">
      <c r="A6356" s="22"/>
    </row>
    <row r="6357" spans="1:1">
      <c r="A6357" s="22"/>
    </row>
    <row r="6358" spans="1:1">
      <c r="A6358" s="22"/>
    </row>
    <row r="6359" spans="1:1">
      <c r="A6359" s="22"/>
    </row>
    <row r="6360" spans="1:1">
      <c r="A6360" s="22"/>
    </row>
    <row r="6361" spans="1:1">
      <c r="A6361" s="22"/>
    </row>
    <row r="6362" spans="1:1">
      <c r="A6362" s="22"/>
    </row>
    <row r="6363" spans="1:1">
      <c r="A6363" s="22"/>
    </row>
    <row r="6364" spans="1:1">
      <c r="A6364" s="22"/>
    </row>
    <row r="6365" spans="1:1">
      <c r="A6365" s="22"/>
    </row>
    <row r="6366" spans="1:1">
      <c r="A6366" s="22"/>
    </row>
    <row r="6367" spans="1:1">
      <c r="A6367" s="22"/>
    </row>
    <row r="6368" spans="1:1">
      <c r="A6368" s="22"/>
    </row>
    <row r="6369" spans="1:1">
      <c r="A6369" s="22"/>
    </row>
    <row r="6370" spans="1:1">
      <c r="A6370" s="22"/>
    </row>
    <row r="6371" spans="1:1">
      <c r="A6371" s="22"/>
    </row>
    <row r="6372" spans="1:1">
      <c r="A6372" s="22"/>
    </row>
    <row r="6373" spans="1:1">
      <c r="A6373" s="22"/>
    </row>
    <row r="6374" spans="1:1">
      <c r="A6374" s="22"/>
    </row>
    <row r="6375" spans="1:1">
      <c r="A6375" s="22"/>
    </row>
    <row r="6376" spans="1:1">
      <c r="A6376" s="22"/>
    </row>
    <row r="6377" spans="1:1">
      <c r="A6377" s="22"/>
    </row>
    <row r="6378" spans="1:1">
      <c r="A6378" s="22"/>
    </row>
    <row r="6379" spans="1:1">
      <c r="A6379" s="22"/>
    </row>
    <row r="6380" spans="1:1">
      <c r="A6380" s="22"/>
    </row>
    <row r="6381" spans="1:1">
      <c r="A6381" s="22"/>
    </row>
    <row r="6382" spans="1:1">
      <c r="A6382" s="22"/>
    </row>
    <row r="6383" spans="1:1">
      <c r="A6383" s="22"/>
    </row>
    <row r="6384" spans="1:1">
      <c r="A6384" s="22"/>
    </row>
    <row r="6385" spans="1:1">
      <c r="A6385" s="22"/>
    </row>
    <row r="6386" spans="1:1">
      <c r="A6386" s="22"/>
    </row>
    <row r="6387" spans="1:1">
      <c r="A6387" s="22"/>
    </row>
    <row r="6388" spans="1:1">
      <c r="A6388" s="22"/>
    </row>
    <row r="6389" spans="1:1">
      <c r="A6389" s="22"/>
    </row>
    <row r="6390" spans="1:1">
      <c r="A6390" s="22"/>
    </row>
    <row r="6391" spans="1:1">
      <c r="A6391" s="22"/>
    </row>
    <row r="6392" spans="1:1">
      <c r="A6392" s="22"/>
    </row>
    <row r="6393" spans="1:1">
      <c r="A6393" s="22"/>
    </row>
    <row r="6394" spans="1:1">
      <c r="A6394" s="22"/>
    </row>
    <row r="6395" spans="1:1">
      <c r="A6395" s="22"/>
    </row>
    <row r="6396" spans="1:1">
      <c r="A6396" s="22"/>
    </row>
    <row r="6397" spans="1:1">
      <c r="A6397" s="22"/>
    </row>
    <row r="6398" spans="1:1">
      <c r="A6398" s="22"/>
    </row>
    <row r="6399" spans="1:1">
      <c r="A6399" s="22"/>
    </row>
    <row r="6400" spans="1:1">
      <c r="A6400" s="22"/>
    </row>
    <row r="6401" spans="1:1">
      <c r="A6401" s="22"/>
    </row>
    <row r="6402" spans="1:1">
      <c r="A6402" s="22"/>
    </row>
    <row r="6403" spans="1:1">
      <c r="A6403" s="22"/>
    </row>
    <row r="6404" spans="1:1">
      <c r="A6404" s="22"/>
    </row>
    <row r="6405" spans="1:1">
      <c r="A6405" s="22"/>
    </row>
    <row r="6406" spans="1:1">
      <c r="A6406" s="22"/>
    </row>
    <row r="6407" spans="1:1">
      <c r="A6407" s="22"/>
    </row>
    <row r="6408" spans="1:1">
      <c r="A6408" s="22"/>
    </row>
    <row r="6409" spans="1:1">
      <c r="A6409" s="22"/>
    </row>
    <row r="6410" spans="1:1">
      <c r="A6410" s="22"/>
    </row>
    <row r="6411" spans="1:1">
      <c r="A6411" s="22"/>
    </row>
    <row r="6412" spans="1:1">
      <c r="A6412" s="22"/>
    </row>
    <row r="6413" spans="1:1">
      <c r="A6413" s="22"/>
    </row>
    <row r="6414" spans="1:1">
      <c r="A6414" s="22"/>
    </row>
    <row r="6415" spans="1:1">
      <c r="A6415" s="22"/>
    </row>
    <row r="6416" spans="1:1">
      <c r="A6416" s="22"/>
    </row>
    <row r="6417" spans="1:1">
      <c r="A6417" s="22"/>
    </row>
    <row r="6418" spans="1:1">
      <c r="A6418" s="22"/>
    </row>
    <row r="6419" spans="1:1">
      <c r="A6419" s="22"/>
    </row>
    <row r="6420" spans="1:1">
      <c r="A6420" s="22"/>
    </row>
    <row r="6421" spans="1:1">
      <c r="A6421" s="22"/>
    </row>
    <row r="6422" spans="1:1">
      <c r="A6422" s="22"/>
    </row>
    <row r="6423" spans="1:1">
      <c r="A6423" s="22"/>
    </row>
    <row r="6424" spans="1:1">
      <c r="A6424" s="22"/>
    </row>
    <row r="6425" spans="1:1">
      <c r="A6425" s="22"/>
    </row>
    <row r="6426" spans="1:1">
      <c r="A6426" s="22"/>
    </row>
    <row r="6427" spans="1:1">
      <c r="A6427" s="22"/>
    </row>
    <row r="6428" spans="1:1">
      <c r="A6428" s="22"/>
    </row>
    <row r="6429" spans="1:1">
      <c r="A6429" s="22"/>
    </row>
    <row r="6430" spans="1:1">
      <c r="A6430" s="22"/>
    </row>
    <row r="6431" spans="1:1">
      <c r="A6431" s="22"/>
    </row>
    <row r="6432" spans="1:1">
      <c r="A6432" s="22"/>
    </row>
    <row r="6433" spans="1:1">
      <c r="A6433" s="22"/>
    </row>
    <row r="6434" spans="1:1">
      <c r="A6434" s="22"/>
    </row>
    <row r="6435" spans="1:1">
      <c r="A6435" s="22"/>
    </row>
    <row r="6436" spans="1:1">
      <c r="A6436" s="22"/>
    </row>
    <row r="6437" spans="1:1">
      <c r="A6437" s="22"/>
    </row>
    <row r="6438" spans="1:1">
      <c r="A6438" s="22"/>
    </row>
    <row r="6439" spans="1:1">
      <c r="A6439" s="22"/>
    </row>
    <row r="6440" spans="1:1">
      <c r="A6440" s="22"/>
    </row>
    <row r="6441" spans="1:1">
      <c r="A6441" s="22"/>
    </row>
    <row r="6442" spans="1:1">
      <c r="A6442" s="22"/>
    </row>
    <row r="6443" spans="1:1">
      <c r="A6443" s="22"/>
    </row>
    <row r="6444" spans="1:1">
      <c r="A6444" s="22"/>
    </row>
    <row r="6445" spans="1:1">
      <c r="A6445" s="22"/>
    </row>
    <row r="6446" spans="1:1">
      <c r="A6446" s="22"/>
    </row>
    <row r="6447" spans="1:1">
      <c r="A6447" s="22"/>
    </row>
    <row r="6448" spans="1:1">
      <c r="A6448" s="22"/>
    </row>
    <row r="6449" spans="1:1">
      <c r="A6449" s="22"/>
    </row>
    <row r="6450" spans="1:1">
      <c r="A6450" s="22"/>
    </row>
    <row r="6451" spans="1:1">
      <c r="A6451" s="22"/>
    </row>
    <row r="6452" spans="1:1">
      <c r="A6452" s="22"/>
    </row>
    <row r="6453" spans="1:1">
      <c r="A6453" s="22"/>
    </row>
    <row r="6454" spans="1:1">
      <c r="A6454" s="22"/>
    </row>
    <row r="6455" spans="1:1">
      <c r="A6455" s="22"/>
    </row>
    <row r="6456" spans="1:1">
      <c r="A6456" s="22"/>
    </row>
    <row r="6457" spans="1:1">
      <c r="A6457" s="22"/>
    </row>
    <row r="6458" spans="1:1">
      <c r="A6458" s="22"/>
    </row>
    <row r="6459" spans="1:1">
      <c r="A6459" s="22"/>
    </row>
    <row r="6460" spans="1:1">
      <c r="A6460" s="22"/>
    </row>
    <row r="6461" spans="1:1">
      <c r="A6461" s="22"/>
    </row>
    <row r="6462" spans="1:1">
      <c r="A6462" s="22"/>
    </row>
    <row r="6463" spans="1:1">
      <c r="A6463" s="22"/>
    </row>
    <row r="6464" spans="1:1">
      <c r="A6464" s="22"/>
    </row>
    <row r="6465" spans="1:1">
      <c r="A6465" s="22"/>
    </row>
    <row r="6466" spans="1:1">
      <c r="A6466" s="22"/>
    </row>
    <row r="6467" spans="1:1">
      <c r="A6467" s="22"/>
    </row>
    <row r="6468" spans="1:1">
      <c r="A6468" s="22"/>
    </row>
    <row r="6469" spans="1:1">
      <c r="A6469" s="22"/>
    </row>
    <row r="6470" spans="1:1">
      <c r="A6470" s="22"/>
    </row>
    <row r="6471" spans="1:1">
      <c r="A6471" s="22"/>
    </row>
    <row r="6472" spans="1:1">
      <c r="A6472" s="22"/>
    </row>
    <row r="6473" spans="1:1">
      <c r="A6473" s="22"/>
    </row>
    <row r="6474" spans="1:1">
      <c r="A6474" s="22"/>
    </row>
    <row r="6475" spans="1:1">
      <c r="A6475" s="22"/>
    </row>
    <row r="6476" spans="1:1">
      <c r="A6476" s="22"/>
    </row>
    <row r="6477" spans="1:1">
      <c r="A6477" s="22"/>
    </row>
    <row r="6478" spans="1:1">
      <c r="A6478" s="22"/>
    </row>
    <row r="6479" spans="1:1">
      <c r="A6479" s="22"/>
    </row>
    <row r="6480" spans="1:1">
      <c r="A6480" s="22"/>
    </row>
    <row r="6481" spans="1:1">
      <c r="A6481" s="22"/>
    </row>
    <row r="6482" spans="1:1">
      <c r="A6482" s="22"/>
    </row>
    <row r="6483" spans="1:1">
      <c r="A6483" s="22"/>
    </row>
    <row r="6484" spans="1:1">
      <c r="A6484" s="22"/>
    </row>
    <row r="6485" spans="1:1">
      <c r="A6485" s="22"/>
    </row>
    <row r="6486" spans="1:1">
      <c r="A6486" s="22"/>
    </row>
    <row r="6487" spans="1:1">
      <c r="A6487" s="22"/>
    </row>
    <row r="6488" spans="1:1">
      <c r="A6488" s="22"/>
    </row>
    <row r="6489" spans="1:1">
      <c r="A6489" s="22"/>
    </row>
    <row r="6490" spans="1:1">
      <c r="A6490" s="22"/>
    </row>
    <row r="6491" spans="1:1">
      <c r="A6491" s="22"/>
    </row>
    <row r="6492" spans="1:1">
      <c r="A6492" s="22"/>
    </row>
    <row r="6493" spans="1:1">
      <c r="A6493" s="22"/>
    </row>
    <row r="6494" spans="1:1">
      <c r="A6494" s="22"/>
    </row>
    <row r="6495" spans="1:1">
      <c r="A6495" s="22"/>
    </row>
    <row r="6496" spans="1:1">
      <c r="A6496" s="22"/>
    </row>
    <row r="6497" spans="1:1">
      <c r="A6497" s="22"/>
    </row>
    <row r="6498" spans="1:1">
      <c r="A6498" s="22"/>
    </row>
    <row r="6499" spans="1:1">
      <c r="A6499" s="22"/>
    </row>
    <row r="6500" spans="1:1">
      <c r="A6500" s="22"/>
    </row>
    <row r="6501" spans="1:1">
      <c r="A6501" s="22"/>
    </row>
    <row r="6502" spans="1:1">
      <c r="A6502" s="22"/>
    </row>
    <row r="6503" spans="1:1">
      <c r="A6503" s="22"/>
    </row>
    <row r="6504" spans="1:1">
      <c r="A6504" s="22"/>
    </row>
    <row r="6505" spans="1:1">
      <c r="A6505" s="22"/>
    </row>
    <row r="6506" spans="1:1">
      <c r="A6506" s="22"/>
    </row>
    <row r="6507" spans="1:1">
      <c r="A6507" s="22"/>
    </row>
    <row r="6508" spans="1:1">
      <c r="A6508" s="22"/>
    </row>
    <row r="6509" spans="1:1">
      <c r="A6509" s="22"/>
    </row>
    <row r="6510" spans="1:1">
      <c r="A6510" s="22"/>
    </row>
    <row r="6511" spans="1:1">
      <c r="A6511" s="22"/>
    </row>
    <row r="6512" spans="1:1">
      <c r="A6512" s="22"/>
    </row>
    <row r="6513" spans="1:1">
      <c r="A6513" s="22"/>
    </row>
    <row r="6514" spans="1:1">
      <c r="A6514" s="22"/>
    </row>
    <row r="6515" spans="1:1">
      <c r="A6515" s="22"/>
    </row>
    <row r="6516" spans="1:1">
      <c r="A6516" s="22"/>
    </row>
    <row r="6517" spans="1:1">
      <c r="A6517" s="22"/>
    </row>
    <row r="6518" spans="1:1">
      <c r="A6518" s="22"/>
    </row>
    <row r="6519" spans="1:1">
      <c r="A6519" s="22"/>
    </row>
    <row r="6520" spans="1:1">
      <c r="A6520" s="22"/>
    </row>
    <row r="6521" spans="1:1">
      <c r="A6521" s="22"/>
    </row>
    <row r="6522" spans="1:1">
      <c r="A6522" s="22"/>
    </row>
    <row r="6523" spans="1:1">
      <c r="A6523" s="22"/>
    </row>
    <row r="6524" spans="1:1">
      <c r="A6524" s="22"/>
    </row>
    <row r="6525" spans="1:1">
      <c r="A6525" s="22"/>
    </row>
    <row r="6526" spans="1:1">
      <c r="A6526" s="22"/>
    </row>
    <row r="6527" spans="1:1">
      <c r="A6527" s="22"/>
    </row>
    <row r="6528" spans="1:1">
      <c r="A6528" s="22"/>
    </row>
    <row r="6529" spans="1:1">
      <c r="A6529" s="22"/>
    </row>
    <row r="6530" spans="1:1">
      <c r="A6530" s="22"/>
    </row>
    <row r="6531" spans="1:1">
      <c r="A6531" s="22"/>
    </row>
    <row r="6532" spans="1:1">
      <c r="A6532" s="22"/>
    </row>
    <row r="6533" spans="1:1">
      <c r="A6533" s="22"/>
    </row>
    <row r="6534" spans="1:1">
      <c r="A6534" s="22"/>
    </row>
    <row r="6535" spans="1:1">
      <c r="A6535" s="22"/>
    </row>
    <row r="6536" spans="1:1">
      <c r="A6536" s="22"/>
    </row>
    <row r="6537" spans="1:1">
      <c r="A6537" s="22"/>
    </row>
    <row r="6538" spans="1:1">
      <c r="A6538" s="22"/>
    </row>
    <row r="6539" spans="1:1">
      <c r="A6539" s="22"/>
    </row>
    <row r="6540" spans="1:1">
      <c r="A6540" s="22"/>
    </row>
    <row r="6541" spans="1:1">
      <c r="A6541" s="22"/>
    </row>
    <row r="6542" spans="1:1">
      <c r="A6542" s="22"/>
    </row>
    <row r="6543" spans="1:1">
      <c r="A6543" s="22"/>
    </row>
    <row r="6544" spans="1:1">
      <c r="A6544" s="22"/>
    </row>
    <row r="6545" spans="1:1">
      <c r="A6545" s="22"/>
    </row>
    <row r="6546" spans="1:1">
      <c r="A6546" s="22"/>
    </row>
    <row r="6547" spans="1:1">
      <c r="A6547" s="22"/>
    </row>
    <row r="6548" spans="1:1">
      <c r="A6548" s="22"/>
    </row>
    <row r="6549" spans="1:1">
      <c r="A6549" s="22"/>
    </row>
    <row r="6550" spans="1:1">
      <c r="A6550" s="22"/>
    </row>
    <row r="6551" spans="1:1">
      <c r="A6551" s="22"/>
    </row>
    <row r="6552" spans="1:1">
      <c r="A6552" s="22"/>
    </row>
    <row r="6553" spans="1:1">
      <c r="A6553" s="22"/>
    </row>
    <row r="6554" spans="1:1">
      <c r="A6554" s="22"/>
    </row>
    <row r="6555" spans="1:1">
      <c r="A6555" s="22"/>
    </row>
    <row r="6556" spans="1:1">
      <c r="A6556" s="22"/>
    </row>
    <row r="6557" spans="1:1">
      <c r="A6557" s="22"/>
    </row>
    <row r="6558" spans="1:1">
      <c r="A6558" s="22"/>
    </row>
    <row r="6559" spans="1:1">
      <c r="A6559" s="22"/>
    </row>
    <row r="6560" spans="1:1">
      <c r="A6560" s="22"/>
    </row>
    <row r="6561" spans="1:1">
      <c r="A6561" s="22"/>
    </row>
    <row r="6562" spans="1:1">
      <c r="A6562" s="22"/>
    </row>
    <row r="6563" spans="1:1">
      <c r="A6563" s="22"/>
    </row>
    <row r="6564" spans="1:1">
      <c r="A6564" s="22"/>
    </row>
    <row r="6565" spans="1:1">
      <c r="A6565" s="22"/>
    </row>
    <row r="6566" spans="1:1">
      <c r="A6566" s="22"/>
    </row>
    <row r="6567" spans="1:1">
      <c r="A6567" s="22"/>
    </row>
    <row r="6568" spans="1:1">
      <c r="A6568" s="22"/>
    </row>
    <row r="6569" spans="1:1">
      <c r="A6569" s="22"/>
    </row>
    <row r="6570" spans="1:1">
      <c r="A6570" s="22"/>
    </row>
    <row r="6571" spans="1:1">
      <c r="A6571" s="22"/>
    </row>
    <row r="6572" spans="1:1">
      <c r="A6572" s="22"/>
    </row>
    <row r="6573" spans="1:1">
      <c r="A6573" s="22"/>
    </row>
    <row r="6574" spans="1:1">
      <c r="A6574" s="22"/>
    </row>
    <row r="6575" spans="1:1">
      <c r="A6575" s="22"/>
    </row>
    <row r="6576" spans="1:1">
      <c r="A6576" s="22"/>
    </row>
    <row r="6577" spans="1:1">
      <c r="A6577" s="22"/>
    </row>
    <row r="6578" spans="1:1">
      <c r="A6578" s="22"/>
    </row>
    <row r="6579" spans="1:1">
      <c r="A6579" s="22"/>
    </row>
    <row r="6580" spans="1:1">
      <c r="A6580" s="22"/>
    </row>
    <row r="6581" spans="1:1">
      <c r="A6581" s="22"/>
    </row>
    <row r="6582" spans="1:1">
      <c r="A6582" s="22"/>
    </row>
    <row r="6583" spans="1:1">
      <c r="A6583" s="22"/>
    </row>
    <row r="6584" spans="1:1">
      <c r="A6584" s="22"/>
    </row>
    <row r="6585" spans="1:1">
      <c r="A6585" s="22"/>
    </row>
    <row r="6586" spans="1:1">
      <c r="A6586" s="22"/>
    </row>
    <row r="6587" spans="1:1">
      <c r="A6587" s="22"/>
    </row>
    <row r="6588" spans="1:1">
      <c r="A6588" s="22"/>
    </row>
    <row r="6589" spans="1:1">
      <c r="A6589" s="22"/>
    </row>
    <row r="6590" spans="1:1">
      <c r="A6590" s="22"/>
    </row>
    <row r="6591" spans="1:1">
      <c r="A6591" s="22"/>
    </row>
    <row r="6592" spans="1:1">
      <c r="A6592" s="22"/>
    </row>
    <row r="6593" spans="1:1">
      <c r="A6593" s="22"/>
    </row>
    <row r="6594" spans="1:1">
      <c r="A6594" s="22"/>
    </row>
    <row r="6595" spans="1:1">
      <c r="A6595" s="22"/>
    </row>
    <row r="6596" spans="1:1">
      <c r="A6596" s="22"/>
    </row>
    <row r="6597" spans="1:1">
      <c r="A6597" s="22"/>
    </row>
    <row r="6598" spans="1:1">
      <c r="A6598" s="22"/>
    </row>
    <row r="6599" spans="1:1">
      <c r="A6599" s="22"/>
    </row>
    <row r="6600" spans="1:1">
      <c r="A6600" s="22"/>
    </row>
    <row r="6601" spans="1:1">
      <c r="A6601" s="22"/>
    </row>
    <row r="6602" spans="1:1">
      <c r="A6602" s="22"/>
    </row>
    <row r="6603" spans="1:1">
      <c r="A6603" s="22"/>
    </row>
    <row r="6604" spans="1:1">
      <c r="A6604" s="22"/>
    </row>
    <row r="6605" spans="1:1">
      <c r="A6605" s="22"/>
    </row>
    <row r="6606" spans="1:1">
      <c r="A6606" s="22"/>
    </row>
    <row r="6607" spans="1:1">
      <c r="A6607" s="22"/>
    </row>
    <row r="6608" spans="1:1">
      <c r="A6608" s="22"/>
    </row>
    <row r="6609" spans="1:1">
      <c r="A6609" s="22"/>
    </row>
    <row r="6610" spans="1:1">
      <c r="A6610" s="22"/>
    </row>
    <row r="6611" spans="1:1">
      <c r="A6611" s="22"/>
    </row>
    <row r="6612" spans="1:1">
      <c r="A6612" s="22"/>
    </row>
    <row r="6613" spans="1:1">
      <c r="A6613" s="22"/>
    </row>
    <row r="6614" spans="1:1">
      <c r="A6614" s="22"/>
    </row>
    <row r="6615" spans="1:1">
      <c r="A6615" s="22"/>
    </row>
    <row r="6616" spans="1:1">
      <c r="A6616" s="22"/>
    </row>
    <row r="6617" spans="1:1">
      <c r="A6617" s="22"/>
    </row>
    <row r="6618" spans="1:1">
      <c r="A6618" s="22"/>
    </row>
    <row r="6619" spans="1:1">
      <c r="A6619" s="22"/>
    </row>
    <row r="6620" spans="1:1">
      <c r="A6620" s="22"/>
    </row>
    <row r="6621" spans="1:1">
      <c r="A6621" s="22"/>
    </row>
    <row r="6622" spans="1:1">
      <c r="A6622" s="22"/>
    </row>
    <row r="6623" spans="1:1">
      <c r="A6623" s="22"/>
    </row>
    <row r="6624" spans="1:1">
      <c r="A6624" s="22"/>
    </row>
    <row r="6625" spans="1:1">
      <c r="A6625" s="22"/>
    </row>
    <row r="6626" spans="1:1">
      <c r="A6626" s="22"/>
    </row>
    <row r="6627" spans="1:1">
      <c r="A6627" s="22"/>
    </row>
    <row r="6628" spans="1:1">
      <c r="A6628" s="22"/>
    </row>
    <row r="6629" spans="1:1">
      <c r="A6629" s="22"/>
    </row>
    <row r="6630" spans="1:1">
      <c r="A6630" s="22"/>
    </row>
    <row r="6631" spans="1:1">
      <c r="A6631" s="22"/>
    </row>
    <row r="6632" spans="1:1">
      <c r="A6632" s="22"/>
    </row>
    <row r="6633" spans="1:1">
      <c r="A6633" s="22"/>
    </row>
    <row r="6634" spans="1:1">
      <c r="A6634" s="22"/>
    </row>
    <row r="6635" spans="1:1">
      <c r="A6635" s="22"/>
    </row>
    <row r="6636" spans="1:1">
      <c r="A6636" s="22"/>
    </row>
    <row r="6637" spans="1:1">
      <c r="A6637" s="22"/>
    </row>
    <row r="6638" spans="1:1">
      <c r="A6638" s="22"/>
    </row>
    <row r="6639" spans="1:1">
      <c r="A6639" s="22"/>
    </row>
    <row r="6640" spans="1:1">
      <c r="A6640" s="22"/>
    </row>
    <row r="6641" spans="1:1">
      <c r="A6641" s="22"/>
    </row>
    <row r="6642" spans="1:1">
      <c r="A6642" s="22"/>
    </row>
    <row r="6643" spans="1:1">
      <c r="A6643" s="22"/>
    </row>
    <row r="6644" spans="1:1">
      <c r="A6644" s="22"/>
    </row>
    <row r="6645" spans="1:1">
      <c r="A6645" s="22"/>
    </row>
    <row r="6646" spans="1:1">
      <c r="A6646" s="22"/>
    </row>
    <row r="6647" spans="1:1">
      <c r="A6647" s="22"/>
    </row>
    <row r="6648" spans="1:1">
      <c r="A6648" s="22"/>
    </row>
    <row r="6649" spans="1:1">
      <c r="A6649" s="22"/>
    </row>
    <row r="6650" spans="1:1">
      <c r="A6650" s="22"/>
    </row>
    <row r="6651" spans="1:1">
      <c r="A6651" s="22"/>
    </row>
    <row r="6652" spans="1:1">
      <c r="A6652" s="22"/>
    </row>
    <row r="6653" spans="1:1">
      <c r="A6653" s="22"/>
    </row>
    <row r="6654" spans="1:1">
      <c r="A6654" s="22"/>
    </row>
    <row r="6655" spans="1:1">
      <c r="A6655" s="22"/>
    </row>
    <row r="6656" spans="1:1">
      <c r="A6656" s="22"/>
    </row>
    <row r="6657" spans="1:1">
      <c r="A6657" s="22"/>
    </row>
    <row r="6658" spans="1:1">
      <c r="A6658" s="22"/>
    </row>
    <row r="6659" spans="1:1">
      <c r="A6659" s="22"/>
    </row>
    <row r="6660" spans="1:1">
      <c r="A6660" s="22"/>
    </row>
    <row r="6661" spans="1:1">
      <c r="A6661" s="22"/>
    </row>
    <row r="6662" spans="1:1">
      <c r="A6662" s="22"/>
    </row>
    <row r="6663" spans="1:1">
      <c r="A6663" s="22"/>
    </row>
    <row r="6664" spans="1:1">
      <c r="A6664" s="22"/>
    </row>
    <row r="6665" spans="1:1">
      <c r="A6665" s="22"/>
    </row>
    <row r="6666" spans="1:1">
      <c r="A6666" s="22"/>
    </row>
    <row r="6667" spans="1:1">
      <c r="A6667" s="22"/>
    </row>
    <row r="6668" spans="1:1">
      <c r="A6668" s="22"/>
    </row>
    <row r="6669" spans="1:1">
      <c r="A6669" s="22"/>
    </row>
    <row r="6670" spans="1:1">
      <c r="A6670" s="22"/>
    </row>
    <row r="6671" spans="1:1">
      <c r="A6671" s="22"/>
    </row>
    <row r="6672" spans="1:1">
      <c r="A6672" s="22"/>
    </row>
    <row r="6673" spans="1:1">
      <c r="A6673" s="22"/>
    </row>
    <row r="6674" spans="1:1">
      <c r="A6674" s="22"/>
    </row>
    <row r="6675" spans="1:1">
      <c r="A6675" s="22"/>
    </row>
    <row r="6676" spans="1:1">
      <c r="A6676" s="22"/>
    </row>
    <row r="6677" spans="1:1">
      <c r="A6677" s="22"/>
    </row>
    <row r="6678" spans="1:1">
      <c r="A6678" s="22"/>
    </row>
    <row r="6679" spans="1:1">
      <c r="A6679" s="22"/>
    </row>
    <row r="6680" spans="1:1">
      <c r="A6680" s="22"/>
    </row>
    <row r="6681" spans="1:1">
      <c r="A6681" s="22"/>
    </row>
    <row r="6682" spans="1:1">
      <c r="A6682" s="22"/>
    </row>
    <row r="6683" spans="1:1">
      <c r="A6683" s="22"/>
    </row>
    <row r="6684" spans="1:1">
      <c r="A6684" s="22"/>
    </row>
    <row r="6685" spans="1:1">
      <c r="A6685" s="22"/>
    </row>
    <row r="6686" spans="1:1">
      <c r="A6686" s="22"/>
    </row>
    <row r="6687" spans="1:1">
      <c r="A6687" s="22"/>
    </row>
    <row r="6688" spans="1:1">
      <c r="A6688" s="22"/>
    </row>
    <row r="6689" spans="1:1">
      <c r="A6689" s="22"/>
    </row>
    <row r="6690" spans="1:1">
      <c r="A6690" s="22"/>
    </row>
    <row r="6691" spans="1:1">
      <c r="A6691" s="22"/>
    </row>
    <row r="6692" spans="1:1">
      <c r="A6692" s="22"/>
    </row>
    <row r="6693" spans="1:1">
      <c r="A6693" s="22"/>
    </row>
    <row r="6694" spans="1:1">
      <c r="A6694" s="22"/>
    </row>
    <row r="6695" spans="1:1">
      <c r="A6695" s="22"/>
    </row>
    <row r="6696" spans="1:1">
      <c r="A6696" s="22"/>
    </row>
    <row r="6697" spans="1:1">
      <c r="A6697" s="22"/>
    </row>
    <row r="6698" spans="1:1">
      <c r="A6698" s="22"/>
    </row>
    <row r="6699" spans="1:1">
      <c r="A6699" s="22"/>
    </row>
    <row r="6700" spans="1:1">
      <c r="A6700" s="22"/>
    </row>
    <row r="6701" spans="1:1">
      <c r="A6701" s="22"/>
    </row>
    <row r="6702" spans="1:1">
      <c r="A6702" s="22"/>
    </row>
    <row r="6703" spans="1:1">
      <c r="A6703" s="22"/>
    </row>
    <row r="6704" spans="1:1">
      <c r="A6704" s="22"/>
    </row>
    <row r="6705" spans="1:1">
      <c r="A6705" s="22"/>
    </row>
    <row r="6706" spans="1:1">
      <c r="A6706" s="22"/>
    </row>
    <row r="6707" spans="1:1">
      <c r="A6707" s="22"/>
    </row>
    <row r="6708" spans="1:1">
      <c r="A6708" s="22"/>
    </row>
    <row r="6709" spans="1:1">
      <c r="A6709" s="22"/>
    </row>
    <row r="6710" spans="1:1">
      <c r="A6710" s="22"/>
    </row>
    <row r="6711" spans="1:1">
      <c r="A6711" s="22"/>
    </row>
    <row r="6712" spans="1:1">
      <c r="A6712" s="22"/>
    </row>
    <row r="6713" spans="1:1">
      <c r="A6713" s="22"/>
    </row>
    <row r="6714" spans="1:1">
      <c r="A6714" s="22"/>
    </row>
    <row r="6715" spans="1:1">
      <c r="A6715" s="22"/>
    </row>
    <row r="6716" spans="1:1">
      <c r="A6716" s="22"/>
    </row>
    <row r="6717" spans="1:1">
      <c r="A6717" s="22"/>
    </row>
    <row r="6718" spans="1:1">
      <c r="A6718" s="22"/>
    </row>
    <row r="6719" spans="1:1">
      <c r="A6719" s="22"/>
    </row>
    <row r="6720" spans="1:1">
      <c r="A6720" s="22"/>
    </row>
    <row r="6721" spans="1:1">
      <c r="A6721" s="22"/>
    </row>
    <row r="6722" spans="1:1">
      <c r="A6722" s="22"/>
    </row>
    <row r="6723" spans="1:1">
      <c r="A6723" s="22"/>
    </row>
    <row r="6724" spans="1:1">
      <c r="A6724" s="22"/>
    </row>
    <row r="6725" spans="1:1">
      <c r="A6725" s="22"/>
    </row>
    <row r="6726" spans="1:1">
      <c r="A6726" s="22"/>
    </row>
    <row r="6727" spans="1:1">
      <c r="A6727" s="22"/>
    </row>
    <row r="6728" spans="1:1">
      <c r="A6728" s="22"/>
    </row>
    <row r="6729" spans="1:1">
      <c r="A6729" s="22"/>
    </row>
    <row r="6730" spans="1:1">
      <c r="A6730" s="22"/>
    </row>
    <row r="6731" spans="1:1">
      <c r="A6731" s="22"/>
    </row>
    <row r="6732" spans="1:1">
      <c r="A6732" s="22"/>
    </row>
    <row r="6733" spans="1:1">
      <c r="A6733" s="22"/>
    </row>
    <row r="6734" spans="1:1">
      <c r="A6734" s="22"/>
    </row>
    <row r="6735" spans="1:1">
      <c r="A6735" s="22"/>
    </row>
    <row r="6736" spans="1:1">
      <c r="A6736" s="22"/>
    </row>
    <row r="6737" spans="1:1">
      <c r="A6737" s="22"/>
    </row>
    <row r="6738" spans="1:1">
      <c r="A6738" s="22"/>
    </row>
    <row r="6739" spans="1:1">
      <c r="A6739" s="22"/>
    </row>
    <row r="6740" spans="1:1">
      <c r="A6740" s="22"/>
    </row>
    <row r="6741" spans="1:1">
      <c r="A6741" s="22"/>
    </row>
    <row r="6742" spans="1:1">
      <c r="A6742" s="22"/>
    </row>
    <row r="6743" spans="1:1">
      <c r="A6743" s="22"/>
    </row>
    <row r="6744" spans="1:1">
      <c r="A6744" s="22"/>
    </row>
    <row r="6745" spans="1:1">
      <c r="A6745" s="22"/>
    </row>
    <row r="6746" spans="1:1">
      <c r="A6746" s="22"/>
    </row>
    <row r="6747" spans="1:1">
      <c r="A6747" s="22"/>
    </row>
    <row r="6748" spans="1:1">
      <c r="A6748" s="22"/>
    </row>
    <row r="6749" spans="1:1">
      <c r="A6749" s="22"/>
    </row>
    <row r="6750" spans="1:1">
      <c r="A6750" s="22"/>
    </row>
    <row r="6751" spans="1:1">
      <c r="A6751" s="22"/>
    </row>
    <row r="6752" spans="1:1">
      <c r="A6752" s="22"/>
    </row>
    <row r="6753" spans="1:1">
      <c r="A6753" s="22"/>
    </row>
    <row r="6754" spans="1:1">
      <c r="A6754" s="22"/>
    </row>
    <row r="6755" spans="1:1">
      <c r="A6755" s="22"/>
    </row>
    <row r="6756" spans="1:1">
      <c r="A6756" s="22"/>
    </row>
    <row r="6757" spans="1:1">
      <c r="A6757" s="22"/>
    </row>
    <row r="6758" spans="1:1">
      <c r="A6758" s="22"/>
    </row>
    <row r="6759" spans="1:1">
      <c r="A6759" s="22"/>
    </row>
    <row r="6760" spans="1:1">
      <c r="A6760" s="22"/>
    </row>
    <row r="6761" spans="1:1">
      <c r="A6761" s="22"/>
    </row>
    <row r="6762" spans="1:1">
      <c r="A6762" s="22"/>
    </row>
    <row r="6763" spans="1:1">
      <c r="A6763" s="22"/>
    </row>
    <row r="6764" spans="1:1">
      <c r="A6764" s="22"/>
    </row>
    <row r="6765" spans="1:1">
      <c r="A6765" s="22"/>
    </row>
    <row r="6766" spans="1:1">
      <c r="A6766" s="22"/>
    </row>
    <row r="6767" spans="1:1">
      <c r="A6767" s="22"/>
    </row>
    <row r="6768" spans="1:1">
      <c r="A6768" s="22"/>
    </row>
    <row r="6769" spans="1:1">
      <c r="A6769" s="22"/>
    </row>
    <row r="6770" spans="1:1">
      <c r="A6770" s="22"/>
    </row>
    <row r="6771" spans="1:1">
      <c r="A6771" s="22"/>
    </row>
    <row r="6772" spans="1:1">
      <c r="A6772" s="22"/>
    </row>
    <row r="6773" spans="1:1">
      <c r="A6773" s="22"/>
    </row>
    <row r="6774" spans="1:1">
      <c r="A6774" s="22"/>
    </row>
    <row r="6775" spans="1:1">
      <c r="A6775" s="22"/>
    </row>
    <row r="6776" spans="1:1">
      <c r="A6776" s="22"/>
    </row>
    <row r="6777" spans="1:1">
      <c r="A6777" s="22"/>
    </row>
    <row r="6778" spans="1:1">
      <c r="A6778" s="22"/>
    </row>
    <row r="6779" spans="1:1">
      <c r="A6779" s="22"/>
    </row>
    <row r="6780" spans="1:1">
      <c r="A6780" s="22"/>
    </row>
    <row r="6781" spans="1:1">
      <c r="A6781" s="22"/>
    </row>
    <row r="6782" spans="1:1">
      <c r="A6782" s="22"/>
    </row>
    <row r="6783" spans="1:1">
      <c r="A6783" s="22"/>
    </row>
    <row r="6784" spans="1:1">
      <c r="A6784" s="22"/>
    </row>
    <row r="6785" spans="1:1">
      <c r="A6785" s="22"/>
    </row>
    <row r="6786" spans="1:1">
      <c r="A6786" s="22"/>
    </row>
    <row r="6787" spans="1:1">
      <c r="A6787" s="22"/>
    </row>
    <row r="6788" spans="1:1">
      <c r="A6788" s="22"/>
    </row>
    <row r="6789" spans="1:1">
      <c r="A6789" s="22"/>
    </row>
    <row r="6790" spans="1:1">
      <c r="A6790" s="22"/>
    </row>
    <row r="6791" spans="1:1">
      <c r="A6791" s="22"/>
    </row>
    <row r="6792" spans="1:1">
      <c r="A6792" s="22"/>
    </row>
    <row r="6793" spans="1:1">
      <c r="A6793" s="22"/>
    </row>
    <row r="6794" spans="1:1">
      <c r="A6794" s="22"/>
    </row>
    <row r="6795" spans="1:1">
      <c r="A6795" s="22"/>
    </row>
    <row r="6796" spans="1:1">
      <c r="A6796" s="22"/>
    </row>
    <row r="6797" spans="1:1">
      <c r="A6797" s="22"/>
    </row>
    <row r="6798" spans="1:1">
      <c r="A6798" s="22"/>
    </row>
    <row r="6799" spans="1:1">
      <c r="A6799" s="22"/>
    </row>
    <row r="6800" spans="1:1">
      <c r="A6800" s="22"/>
    </row>
    <row r="6801" spans="1:1">
      <c r="A6801" s="22"/>
    </row>
    <row r="6802" spans="1:1">
      <c r="A6802" s="22"/>
    </row>
    <row r="6803" spans="1:1">
      <c r="A6803" s="22"/>
    </row>
    <row r="6804" spans="1:1">
      <c r="A6804" s="22"/>
    </row>
    <row r="6805" spans="1:1">
      <c r="A6805" s="22"/>
    </row>
    <row r="6806" spans="1:1">
      <c r="A6806" s="22"/>
    </row>
    <row r="6807" spans="1:1">
      <c r="A6807" s="22"/>
    </row>
    <row r="6808" spans="1:1">
      <c r="A6808" s="22"/>
    </row>
    <row r="6809" spans="1:1">
      <c r="A6809" s="22"/>
    </row>
    <row r="6810" spans="1:1">
      <c r="A6810" s="22"/>
    </row>
    <row r="6811" spans="1:1">
      <c r="A6811" s="22"/>
    </row>
    <row r="6812" spans="1:1">
      <c r="A6812" s="22"/>
    </row>
    <row r="6813" spans="1:1">
      <c r="A6813" s="22"/>
    </row>
    <row r="6814" spans="1:1">
      <c r="A6814" s="22"/>
    </row>
    <row r="6815" spans="1:1">
      <c r="A6815" s="22"/>
    </row>
    <row r="6816" spans="1:1">
      <c r="A6816" s="22"/>
    </row>
    <row r="6817" spans="1:1">
      <c r="A6817" s="22"/>
    </row>
    <row r="6818" spans="1:1">
      <c r="A6818" s="22"/>
    </row>
    <row r="6819" spans="1:1">
      <c r="A6819" s="22"/>
    </row>
    <row r="6820" spans="1:1">
      <c r="A6820" s="22"/>
    </row>
    <row r="6821" spans="1:1">
      <c r="A6821" s="22"/>
    </row>
    <row r="6822" spans="1:1">
      <c r="A6822" s="22"/>
    </row>
    <row r="6823" spans="1:1">
      <c r="A6823" s="22"/>
    </row>
    <row r="6824" spans="1:1">
      <c r="A6824" s="22"/>
    </row>
    <row r="6825" spans="1:1">
      <c r="A6825" s="22"/>
    </row>
    <row r="6826" spans="1:1">
      <c r="A6826" s="22"/>
    </row>
    <row r="6827" spans="1:1">
      <c r="A6827" s="22"/>
    </row>
    <row r="6828" spans="1:1">
      <c r="A6828" s="22"/>
    </row>
    <row r="6829" spans="1:1">
      <c r="A6829" s="22"/>
    </row>
    <row r="6830" spans="1:1">
      <c r="A6830" s="22"/>
    </row>
    <row r="6831" spans="1:1">
      <c r="A6831" s="22"/>
    </row>
    <row r="6832" spans="1:1">
      <c r="A6832" s="22"/>
    </row>
    <row r="6833" spans="1:1">
      <c r="A6833" s="22"/>
    </row>
    <row r="6834" spans="1:1">
      <c r="A6834" s="22"/>
    </row>
    <row r="6835" spans="1:1">
      <c r="A6835" s="22"/>
    </row>
    <row r="6836" spans="1:1">
      <c r="A6836" s="22"/>
    </row>
    <row r="6837" spans="1:1">
      <c r="A6837" s="22"/>
    </row>
    <row r="6838" spans="1:1">
      <c r="A6838" s="22"/>
    </row>
    <row r="6839" spans="1:1">
      <c r="A6839" s="22"/>
    </row>
    <row r="6840" spans="1:1">
      <c r="A6840" s="22"/>
    </row>
    <row r="6841" spans="1:1">
      <c r="A6841" s="22"/>
    </row>
    <row r="6842" spans="1:1">
      <c r="A6842" s="22"/>
    </row>
    <row r="6843" spans="1:1">
      <c r="A6843" s="22"/>
    </row>
    <row r="6844" spans="1:1">
      <c r="A6844" s="22"/>
    </row>
    <row r="6845" spans="1:1">
      <c r="A6845" s="22"/>
    </row>
    <row r="6846" spans="1:1">
      <c r="A6846" s="22"/>
    </row>
    <row r="6847" spans="1:1">
      <c r="A6847" s="22"/>
    </row>
    <row r="6848" spans="1:1">
      <c r="A6848" s="22"/>
    </row>
    <row r="6849" spans="1:1">
      <c r="A6849" s="22"/>
    </row>
    <row r="6850" spans="1:1">
      <c r="A6850" s="22"/>
    </row>
    <row r="6851" spans="1:1">
      <c r="A6851" s="22"/>
    </row>
    <row r="6852" spans="1:1">
      <c r="A6852" s="22"/>
    </row>
    <row r="6853" spans="1:1">
      <c r="A6853" s="22"/>
    </row>
    <row r="6854" spans="1:1">
      <c r="A6854" s="22"/>
    </row>
    <row r="6855" spans="1:1">
      <c r="A6855" s="22"/>
    </row>
    <row r="6856" spans="1:1">
      <c r="A6856" s="22"/>
    </row>
    <row r="6857" spans="1:1">
      <c r="A6857" s="22"/>
    </row>
    <row r="6858" spans="1:1">
      <c r="A6858" s="22"/>
    </row>
    <row r="6859" spans="1:1">
      <c r="A6859" s="22"/>
    </row>
    <row r="6860" spans="1:1">
      <c r="A6860" s="22"/>
    </row>
    <row r="6861" spans="1:1">
      <c r="A6861" s="22"/>
    </row>
    <row r="6862" spans="1:1">
      <c r="A6862" s="22"/>
    </row>
    <row r="6863" spans="1:1">
      <c r="A6863" s="22"/>
    </row>
    <row r="6864" spans="1:1">
      <c r="A6864" s="22"/>
    </row>
    <row r="6865" spans="1:1">
      <c r="A6865" s="22"/>
    </row>
    <row r="6866" spans="1:1">
      <c r="A6866" s="22"/>
    </row>
    <row r="6867" spans="1:1">
      <c r="A6867" s="22"/>
    </row>
    <row r="6868" spans="1:1">
      <c r="A6868" s="22"/>
    </row>
    <row r="6869" spans="1:1">
      <c r="A6869" s="22"/>
    </row>
    <row r="6870" spans="1:1">
      <c r="A6870" s="22"/>
    </row>
    <row r="6871" spans="1:1">
      <c r="A6871" s="22"/>
    </row>
    <row r="6872" spans="1:1">
      <c r="A6872" s="22"/>
    </row>
    <row r="6873" spans="1:1">
      <c r="A6873" s="22"/>
    </row>
    <row r="6874" spans="1:1">
      <c r="A6874" s="22"/>
    </row>
    <row r="6875" spans="1:1">
      <c r="A6875" s="22"/>
    </row>
    <row r="6876" spans="1:1">
      <c r="A6876" s="22"/>
    </row>
    <row r="6877" spans="1:1">
      <c r="A6877" s="22"/>
    </row>
    <row r="6878" spans="1:1">
      <c r="A6878" s="22"/>
    </row>
    <row r="6879" spans="1:1">
      <c r="A6879" s="22"/>
    </row>
    <row r="6880" spans="1:1">
      <c r="A6880" s="22"/>
    </row>
    <row r="6881" spans="1:1">
      <c r="A6881" s="22"/>
    </row>
    <row r="6882" spans="1:1">
      <c r="A6882" s="22"/>
    </row>
    <row r="6883" spans="1:1">
      <c r="A6883" s="22"/>
    </row>
    <row r="6884" spans="1:1">
      <c r="A6884" s="22"/>
    </row>
    <row r="6885" spans="1:1">
      <c r="A6885" s="22"/>
    </row>
    <row r="6886" spans="1:1">
      <c r="A6886" s="22"/>
    </row>
    <row r="6887" spans="1:1">
      <c r="A6887" s="22"/>
    </row>
    <row r="6888" spans="1:1">
      <c r="A6888" s="22"/>
    </row>
    <row r="6889" spans="1:1">
      <c r="A6889" s="22"/>
    </row>
    <row r="6890" spans="1:1">
      <c r="A6890" s="22"/>
    </row>
    <row r="6891" spans="1:1">
      <c r="A6891" s="22"/>
    </row>
    <row r="6892" spans="1:1">
      <c r="A6892" s="22"/>
    </row>
    <row r="6893" spans="1:1">
      <c r="A6893" s="22"/>
    </row>
    <row r="6894" spans="1:1">
      <c r="A6894" s="22"/>
    </row>
    <row r="6895" spans="1:1">
      <c r="A6895" s="22"/>
    </row>
    <row r="6896" spans="1:1">
      <c r="A6896" s="22"/>
    </row>
    <row r="6897" spans="1:1">
      <c r="A6897" s="22"/>
    </row>
    <row r="6898" spans="1:1">
      <c r="A6898" s="22"/>
    </row>
    <row r="6899" spans="1:1">
      <c r="A6899" s="22"/>
    </row>
    <row r="6900" spans="1:1">
      <c r="A6900" s="22"/>
    </row>
    <row r="6901" spans="1:1">
      <c r="A6901" s="22"/>
    </row>
    <row r="6902" spans="1:1">
      <c r="A6902" s="22"/>
    </row>
    <row r="6903" spans="1:1">
      <c r="A6903" s="22"/>
    </row>
    <row r="6904" spans="1:1">
      <c r="A6904" s="22"/>
    </row>
    <row r="6905" spans="1:1">
      <c r="A6905" s="22"/>
    </row>
    <row r="6906" spans="1:1">
      <c r="A6906" s="22"/>
    </row>
    <row r="6907" spans="1:1">
      <c r="A6907" s="22"/>
    </row>
    <row r="6908" spans="1:1">
      <c r="A6908" s="22"/>
    </row>
    <row r="6909" spans="1:1">
      <c r="A6909" s="22"/>
    </row>
    <row r="6910" spans="1:1">
      <c r="A6910" s="22"/>
    </row>
    <row r="6911" spans="1:1">
      <c r="A6911" s="22"/>
    </row>
    <row r="6912" spans="1:1">
      <c r="A6912" s="22"/>
    </row>
    <row r="6913" spans="1:1">
      <c r="A6913" s="22"/>
    </row>
    <row r="6914" spans="1:1">
      <c r="A6914" s="22"/>
    </row>
    <row r="6915" spans="1:1">
      <c r="A6915" s="22"/>
    </row>
    <row r="6916" spans="1:1">
      <c r="A6916" s="22"/>
    </row>
    <row r="6917" spans="1:1">
      <c r="A6917" s="22"/>
    </row>
    <row r="6918" spans="1:1">
      <c r="A6918" s="22"/>
    </row>
    <row r="6919" spans="1:1">
      <c r="A6919" s="22"/>
    </row>
    <row r="6920" spans="1:1">
      <c r="A6920" s="22"/>
    </row>
    <row r="6921" spans="1:1">
      <c r="A6921" s="22"/>
    </row>
    <row r="6922" spans="1:1">
      <c r="A6922" s="22"/>
    </row>
    <row r="6923" spans="1:1">
      <c r="A6923" s="22"/>
    </row>
    <row r="6924" spans="1:1">
      <c r="A6924" s="22"/>
    </row>
    <row r="6925" spans="1:1">
      <c r="A6925" s="22"/>
    </row>
    <row r="6926" spans="1:1">
      <c r="A6926" s="22"/>
    </row>
    <row r="6927" spans="1:1">
      <c r="A6927" s="22"/>
    </row>
    <row r="6928" spans="1:1">
      <c r="A6928" s="22"/>
    </row>
    <row r="6929" spans="1:1">
      <c r="A6929" s="22"/>
    </row>
    <row r="6930" spans="1:1">
      <c r="A6930" s="22"/>
    </row>
    <row r="6931" spans="1:1">
      <c r="A6931" s="22"/>
    </row>
    <row r="6932" spans="1:1">
      <c r="A6932" s="22"/>
    </row>
    <row r="6933" spans="1:1">
      <c r="A6933" s="22"/>
    </row>
    <row r="6934" spans="1:1">
      <c r="A6934" s="22"/>
    </row>
    <row r="6935" spans="1:1">
      <c r="A6935" s="22"/>
    </row>
    <row r="6936" spans="1:1">
      <c r="A6936" s="22"/>
    </row>
    <row r="6937" spans="1:1">
      <c r="A6937" s="22"/>
    </row>
    <row r="6938" spans="1:1">
      <c r="A6938" s="22"/>
    </row>
    <row r="6939" spans="1:1">
      <c r="A6939" s="22"/>
    </row>
    <row r="6940" spans="1:1">
      <c r="A6940" s="22"/>
    </row>
    <row r="6941" spans="1:1">
      <c r="A6941" s="22"/>
    </row>
    <row r="6942" spans="1:1">
      <c r="A6942" s="22"/>
    </row>
    <row r="6943" spans="1:1">
      <c r="A6943" s="22"/>
    </row>
    <row r="6944" spans="1:1">
      <c r="A6944" s="22"/>
    </row>
    <row r="6945" spans="1:1">
      <c r="A6945" s="22"/>
    </row>
    <row r="6946" spans="1:1">
      <c r="A6946" s="22"/>
    </row>
    <row r="6947" spans="1:1">
      <c r="A6947" s="22"/>
    </row>
    <row r="6948" spans="1:1">
      <c r="A6948" s="22"/>
    </row>
    <row r="6949" spans="1:1">
      <c r="A6949" s="22"/>
    </row>
    <row r="6950" spans="1:1">
      <c r="A6950" s="22"/>
    </row>
    <row r="6951" spans="1:1">
      <c r="A6951" s="22"/>
    </row>
    <row r="6952" spans="1:1">
      <c r="A6952" s="22"/>
    </row>
    <row r="6953" spans="1:1">
      <c r="A6953" s="22"/>
    </row>
    <row r="6954" spans="1:1">
      <c r="A6954" s="22"/>
    </row>
    <row r="6955" spans="1:1">
      <c r="A6955" s="22"/>
    </row>
    <row r="6956" spans="1:1">
      <c r="A6956" s="22"/>
    </row>
    <row r="6957" spans="1:1">
      <c r="A6957" s="22"/>
    </row>
    <row r="6958" spans="1:1">
      <c r="A6958" s="22"/>
    </row>
    <row r="6959" spans="1:1">
      <c r="A6959" s="22"/>
    </row>
    <row r="6960" spans="1:1">
      <c r="A6960" s="22"/>
    </row>
    <row r="6961" spans="1:1">
      <c r="A6961" s="22"/>
    </row>
    <row r="6962" spans="1:1">
      <c r="A6962" s="22"/>
    </row>
    <row r="6963" spans="1:1">
      <c r="A6963" s="22"/>
    </row>
    <row r="6964" spans="1:1">
      <c r="A6964" s="22"/>
    </row>
    <row r="6965" spans="1:1">
      <c r="A6965" s="22"/>
    </row>
    <row r="6966" spans="1:1">
      <c r="A6966" s="22"/>
    </row>
    <row r="6967" spans="1:1">
      <c r="A6967" s="22"/>
    </row>
    <row r="6968" spans="1:1">
      <c r="A6968" s="22"/>
    </row>
    <row r="6969" spans="1:1">
      <c r="A6969" s="22"/>
    </row>
    <row r="6970" spans="1:1">
      <c r="A6970" s="22"/>
    </row>
    <row r="6971" spans="1:1">
      <c r="A6971" s="22"/>
    </row>
    <row r="6972" spans="1:1">
      <c r="A6972" s="22"/>
    </row>
    <row r="6973" spans="1:1">
      <c r="A6973" s="22"/>
    </row>
    <row r="6974" spans="1:1">
      <c r="A6974" s="22"/>
    </row>
    <row r="6975" spans="1:1">
      <c r="A6975" s="22"/>
    </row>
    <row r="6976" spans="1:1">
      <c r="A6976" s="22"/>
    </row>
    <row r="6977" spans="1:1">
      <c r="A6977" s="22"/>
    </row>
    <row r="6978" spans="1:1">
      <c r="A6978" s="22"/>
    </row>
    <row r="6979" spans="1:1">
      <c r="A6979" s="22"/>
    </row>
    <row r="6980" spans="1:1">
      <c r="A6980" s="22"/>
    </row>
    <row r="6981" spans="1:1">
      <c r="A6981" s="22"/>
    </row>
    <row r="6982" spans="1:1">
      <c r="A6982" s="22"/>
    </row>
    <row r="6983" spans="1:1">
      <c r="A6983" s="22"/>
    </row>
    <row r="6984" spans="1:1">
      <c r="A6984" s="22"/>
    </row>
    <row r="6985" spans="1:1">
      <c r="A6985" s="22"/>
    </row>
    <row r="6986" spans="1:1">
      <c r="A6986" s="22"/>
    </row>
    <row r="6987" spans="1:1">
      <c r="A6987" s="22"/>
    </row>
    <row r="6988" spans="1:1">
      <c r="A6988" s="22"/>
    </row>
    <row r="6989" spans="1:1">
      <c r="A6989" s="22"/>
    </row>
    <row r="6990" spans="1:1">
      <c r="A6990" s="22"/>
    </row>
    <row r="6991" spans="1:1">
      <c r="A6991" s="22"/>
    </row>
    <row r="6992" spans="1:1">
      <c r="A6992" s="22"/>
    </row>
    <row r="6993" spans="1:1">
      <c r="A6993" s="22"/>
    </row>
    <row r="6994" spans="1:1">
      <c r="A6994" s="22"/>
    </row>
    <row r="6995" spans="1:1">
      <c r="A6995" s="22"/>
    </row>
    <row r="6996" spans="1:1">
      <c r="A6996" s="22"/>
    </row>
    <row r="6997" spans="1:1">
      <c r="A6997" s="22"/>
    </row>
    <row r="6998" spans="1:1">
      <c r="A6998" s="22"/>
    </row>
    <row r="6999" spans="1:1">
      <c r="A6999" s="22"/>
    </row>
    <row r="7000" spans="1:1">
      <c r="A7000" s="22"/>
    </row>
    <row r="7001" spans="1:1">
      <c r="A7001" s="22"/>
    </row>
    <row r="7002" spans="1:1">
      <c r="A7002" s="22"/>
    </row>
    <row r="7003" spans="1:1">
      <c r="A7003" s="22"/>
    </row>
    <row r="7004" spans="1:1">
      <c r="A7004" s="22"/>
    </row>
    <row r="7005" spans="1:1">
      <c r="A7005" s="22"/>
    </row>
    <row r="7006" spans="1:1">
      <c r="A7006" s="22"/>
    </row>
    <row r="7007" spans="1:1">
      <c r="A7007" s="22"/>
    </row>
    <row r="7008" spans="1:1">
      <c r="A7008" s="22"/>
    </row>
    <row r="7009" spans="1:1">
      <c r="A7009" s="22"/>
    </row>
    <row r="7010" spans="1:1">
      <c r="A7010" s="22"/>
    </row>
    <row r="7011" spans="1:1">
      <c r="A7011" s="22"/>
    </row>
    <row r="7012" spans="1:1">
      <c r="A7012" s="22"/>
    </row>
    <row r="7013" spans="1:1">
      <c r="A7013" s="22"/>
    </row>
    <row r="7014" spans="1:1">
      <c r="A7014" s="22"/>
    </row>
    <row r="7015" spans="1:1">
      <c r="A7015" s="22"/>
    </row>
    <row r="7016" spans="1:1">
      <c r="A7016" s="22"/>
    </row>
    <row r="7017" spans="1:1">
      <c r="A7017" s="22"/>
    </row>
    <row r="7018" spans="1:1">
      <c r="A7018" s="22"/>
    </row>
    <row r="7019" spans="1:1">
      <c r="A7019" s="22"/>
    </row>
    <row r="7020" spans="1:1">
      <c r="A7020" s="22"/>
    </row>
    <row r="7021" spans="1:1">
      <c r="A7021" s="22"/>
    </row>
    <row r="7022" spans="1:1">
      <c r="A7022" s="22"/>
    </row>
    <row r="7023" spans="1:1">
      <c r="A7023" s="22"/>
    </row>
    <row r="7024" spans="1:1">
      <c r="A7024" s="22"/>
    </row>
    <row r="7025" spans="1:1">
      <c r="A7025" s="22"/>
    </row>
    <row r="7026" spans="1:1">
      <c r="A7026" s="22"/>
    </row>
    <row r="7027" spans="1:1">
      <c r="A7027" s="22"/>
    </row>
    <row r="7028" spans="1:1">
      <c r="A7028" s="22"/>
    </row>
    <row r="7029" spans="1:1">
      <c r="A7029" s="22"/>
    </row>
    <row r="7030" spans="1:1">
      <c r="A7030" s="22"/>
    </row>
    <row r="7031" spans="1:1">
      <c r="A7031" s="22"/>
    </row>
    <row r="7032" spans="1:1">
      <c r="A7032" s="22"/>
    </row>
    <row r="7033" spans="1:1">
      <c r="A7033" s="22"/>
    </row>
    <row r="7034" spans="1:1">
      <c r="A7034" s="22"/>
    </row>
    <row r="7035" spans="1:1">
      <c r="A7035" s="22"/>
    </row>
    <row r="7036" spans="1:1">
      <c r="A7036" s="22"/>
    </row>
    <row r="7037" spans="1:1">
      <c r="A7037" s="22"/>
    </row>
    <row r="7038" spans="1:1">
      <c r="A7038" s="22"/>
    </row>
    <row r="7039" spans="1:1">
      <c r="A7039" s="22"/>
    </row>
    <row r="7040" spans="1:1">
      <c r="A7040" s="22"/>
    </row>
    <row r="7041" spans="1:1">
      <c r="A7041" s="22"/>
    </row>
    <row r="7042" spans="1:1">
      <c r="A7042" s="22"/>
    </row>
    <row r="7043" spans="1:1">
      <c r="A7043" s="22"/>
    </row>
    <row r="7044" spans="1:1">
      <c r="A7044" s="22"/>
    </row>
    <row r="7045" spans="1:1">
      <c r="A7045" s="22"/>
    </row>
    <row r="7046" spans="1:1">
      <c r="A7046" s="22"/>
    </row>
    <row r="7047" spans="1:1">
      <c r="A7047" s="22"/>
    </row>
    <row r="7048" spans="1:1">
      <c r="A7048" s="22"/>
    </row>
    <row r="7049" spans="1:1">
      <c r="A7049" s="22"/>
    </row>
    <row r="7050" spans="1:1">
      <c r="A7050" s="22"/>
    </row>
    <row r="7051" spans="1:1">
      <c r="A7051" s="22"/>
    </row>
    <row r="7052" spans="1:1">
      <c r="A7052" s="22"/>
    </row>
    <row r="7053" spans="1:1">
      <c r="A7053" s="22"/>
    </row>
    <row r="7054" spans="1:1">
      <c r="A7054" s="22"/>
    </row>
    <row r="7055" spans="1:1">
      <c r="A7055" s="22"/>
    </row>
    <row r="7056" spans="1:1">
      <c r="A7056" s="22"/>
    </row>
    <row r="7057" spans="1:1">
      <c r="A7057" s="22"/>
    </row>
    <row r="7058" spans="1:1">
      <c r="A7058" s="22"/>
    </row>
    <row r="7059" spans="1:1">
      <c r="A7059" s="22"/>
    </row>
    <row r="7060" spans="1:1">
      <c r="A7060" s="22"/>
    </row>
    <row r="7061" spans="1:1">
      <c r="A7061" s="22"/>
    </row>
    <row r="7062" spans="1:1">
      <c r="A7062" s="22"/>
    </row>
    <row r="7063" spans="1:1">
      <c r="A7063" s="22"/>
    </row>
    <row r="7064" spans="1:1">
      <c r="A7064" s="22"/>
    </row>
    <row r="7065" spans="1:1">
      <c r="A7065" s="22"/>
    </row>
    <row r="7066" spans="1:1">
      <c r="A7066" s="22"/>
    </row>
    <row r="7067" spans="1:1">
      <c r="A7067" s="22"/>
    </row>
    <row r="7068" spans="1:1">
      <c r="A7068" s="22"/>
    </row>
    <row r="7069" spans="1:1">
      <c r="A7069" s="22"/>
    </row>
    <row r="7070" spans="1:1">
      <c r="A7070" s="22"/>
    </row>
    <row r="7071" spans="1:1">
      <c r="A7071" s="22"/>
    </row>
    <row r="7072" spans="1:1">
      <c r="A7072" s="22"/>
    </row>
    <row r="7073" spans="1:1">
      <c r="A7073" s="22"/>
    </row>
    <row r="7074" spans="1:1">
      <c r="A7074" s="22"/>
    </row>
    <row r="7075" spans="1:1">
      <c r="A7075" s="22"/>
    </row>
    <row r="7076" spans="1:1">
      <c r="A7076" s="22"/>
    </row>
    <row r="7077" spans="1:1">
      <c r="A7077" s="22"/>
    </row>
    <row r="7078" spans="1:1">
      <c r="A7078" s="22"/>
    </row>
    <row r="7079" spans="1:1">
      <c r="A7079" s="22"/>
    </row>
    <row r="7080" spans="1:1">
      <c r="A7080" s="22"/>
    </row>
    <row r="7081" spans="1:1">
      <c r="A7081" s="22"/>
    </row>
    <row r="7082" spans="1:1">
      <c r="A7082" s="22"/>
    </row>
    <row r="7083" spans="1:1">
      <c r="A7083" s="22"/>
    </row>
    <row r="7084" spans="1:1">
      <c r="A7084" s="22"/>
    </row>
    <row r="7085" spans="1:1">
      <c r="A7085" s="22"/>
    </row>
    <row r="7086" spans="1:1">
      <c r="A7086" s="22"/>
    </row>
    <row r="7087" spans="1:1">
      <c r="A7087" s="22"/>
    </row>
    <row r="7088" spans="1:1">
      <c r="A7088" s="22"/>
    </row>
    <row r="7089" spans="1:1">
      <c r="A7089" s="22"/>
    </row>
    <row r="7090" spans="1:1">
      <c r="A7090" s="22"/>
    </row>
    <row r="7091" spans="1:1">
      <c r="A7091" s="22"/>
    </row>
    <row r="7092" spans="1:1">
      <c r="A7092" s="22"/>
    </row>
    <row r="7093" spans="1:1">
      <c r="A7093" s="22"/>
    </row>
    <row r="7094" spans="1:1">
      <c r="A7094" s="22"/>
    </row>
    <row r="7095" spans="1:1">
      <c r="A7095" s="22"/>
    </row>
    <row r="7096" spans="1:1">
      <c r="A7096" s="22"/>
    </row>
    <row r="7097" spans="1:1">
      <c r="A7097" s="22"/>
    </row>
    <row r="7098" spans="1:1">
      <c r="A7098" s="22"/>
    </row>
    <row r="7099" spans="1:1">
      <c r="A7099" s="22"/>
    </row>
    <row r="7100" spans="1:1">
      <c r="A7100" s="22"/>
    </row>
    <row r="7101" spans="1:1">
      <c r="A7101" s="22"/>
    </row>
    <row r="7102" spans="1:1">
      <c r="A7102" s="22"/>
    </row>
    <row r="7103" spans="1:1">
      <c r="A7103" s="22"/>
    </row>
    <row r="7104" spans="1:1">
      <c r="A7104" s="22"/>
    </row>
    <row r="7105" spans="1:1">
      <c r="A7105" s="22"/>
    </row>
    <row r="7106" spans="1:1">
      <c r="A7106" s="22"/>
    </row>
    <row r="7107" spans="1:1">
      <c r="A7107" s="22"/>
    </row>
    <row r="7108" spans="1:1">
      <c r="A7108" s="22"/>
    </row>
    <row r="7109" spans="1:1">
      <c r="A7109" s="22"/>
    </row>
    <row r="7110" spans="1:1">
      <c r="A7110" s="22"/>
    </row>
    <row r="7111" spans="1:1">
      <c r="A7111" s="22"/>
    </row>
    <row r="7112" spans="1:1">
      <c r="A7112" s="22"/>
    </row>
    <row r="7113" spans="1:1">
      <c r="A7113" s="22"/>
    </row>
    <row r="7114" spans="1:1">
      <c r="A7114" s="22"/>
    </row>
    <row r="7115" spans="1:1">
      <c r="A7115" s="22"/>
    </row>
    <row r="7116" spans="1:1">
      <c r="A7116" s="22"/>
    </row>
    <row r="7117" spans="1:1">
      <c r="A7117" s="22"/>
    </row>
    <row r="7118" spans="1:1">
      <c r="A7118" s="22"/>
    </row>
    <row r="7119" spans="1:1">
      <c r="A7119" s="22"/>
    </row>
    <row r="7120" spans="1:1">
      <c r="A7120" s="22"/>
    </row>
    <row r="7121" spans="1:1">
      <c r="A7121" s="22"/>
    </row>
    <row r="7122" spans="1:1">
      <c r="A7122" s="22"/>
    </row>
    <row r="7123" spans="1:1">
      <c r="A7123" s="22"/>
    </row>
    <row r="7124" spans="1:1">
      <c r="A7124" s="22"/>
    </row>
    <row r="7125" spans="1:1">
      <c r="A7125" s="22"/>
    </row>
    <row r="7126" spans="1:1">
      <c r="A7126" s="22"/>
    </row>
    <row r="7127" spans="1:1">
      <c r="A7127" s="22"/>
    </row>
    <row r="7128" spans="1:1">
      <c r="A7128" s="22"/>
    </row>
    <row r="7129" spans="1:1">
      <c r="A7129" s="22"/>
    </row>
    <row r="7130" spans="1:1">
      <c r="A7130" s="22"/>
    </row>
    <row r="7131" spans="1:1">
      <c r="A7131" s="22"/>
    </row>
    <row r="7132" spans="1:1">
      <c r="A7132" s="22"/>
    </row>
    <row r="7133" spans="1:1">
      <c r="A7133" s="22"/>
    </row>
    <row r="7134" spans="1:1">
      <c r="A7134" s="22"/>
    </row>
    <row r="7135" spans="1:1">
      <c r="A7135" s="22"/>
    </row>
    <row r="7136" spans="1:1">
      <c r="A7136" s="22"/>
    </row>
    <row r="7137" spans="1:1">
      <c r="A7137" s="22"/>
    </row>
    <row r="7138" spans="1:1">
      <c r="A7138" s="22"/>
    </row>
    <row r="7139" spans="1:1">
      <c r="A7139" s="22"/>
    </row>
    <row r="7140" spans="1:1">
      <c r="A7140" s="22"/>
    </row>
    <row r="7141" spans="1:1">
      <c r="A7141" s="22"/>
    </row>
    <row r="7142" spans="1:1">
      <c r="A7142" s="22"/>
    </row>
    <row r="7143" spans="1:1">
      <c r="A7143" s="22"/>
    </row>
    <row r="7144" spans="1:1">
      <c r="A7144" s="22"/>
    </row>
    <row r="7145" spans="1:1">
      <c r="A7145" s="22"/>
    </row>
    <row r="7146" spans="1:1">
      <c r="A7146" s="22"/>
    </row>
    <row r="7147" spans="1:1">
      <c r="A7147" s="22"/>
    </row>
    <row r="7148" spans="1:1">
      <c r="A7148" s="22"/>
    </row>
    <row r="7149" spans="1:1">
      <c r="A7149" s="22"/>
    </row>
    <row r="7150" spans="1:1">
      <c r="A7150" s="22"/>
    </row>
    <row r="7151" spans="1:1">
      <c r="A7151" s="22"/>
    </row>
    <row r="7152" spans="1:1">
      <c r="A7152" s="22"/>
    </row>
    <row r="7153" spans="1:1">
      <c r="A7153" s="22"/>
    </row>
    <row r="7154" spans="1:1">
      <c r="A7154" s="22"/>
    </row>
    <row r="7155" spans="1:1">
      <c r="A7155" s="22"/>
    </row>
    <row r="7156" spans="1:1">
      <c r="A7156" s="22"/>
    </row>
    <row r="7157" spans="1:1">
      <c r="A7157" s="22"/>
    </row>
    <row r="7158" spans="1:1">
      <c r="A7158" s="22"/>
    </row>
    <row r="7159" spans="1:1">
      <c r="A7159" s="22"/>
    </row>
    <row r="7160" spans="1:1">
      <c r="A7160" s="22"/>
    </row>
    <row r="7161" spans="1:1">
      <c r="A7161" s="22"/>
    </row>
    <row r="7162" spans="1:1">
      <c r="A7162" s="22"/>
    </row>
    <row r="7163" spans="1:1">
      <c r="A7163" s="22"/>
    </row>
    <row r="7164" spans="1:1">
      <c r="A7164" s="22"/>
    </row>
    <row r="7165" spans="1:1">
      <c r="A7165" s="22"/>
    </row>
    <row r="7166" spans="1:1">
      <c r="A7166" s="22"/>
    </row>
    <row r="7167" spans="1:1">
      <c r="A7167" s="22"/>
    </row>
    <row r="7168" spans="1:1">
      <c r="A7168" s="22"/>
    </row>
    <row r="7169" spans="1:1">
      <c r="A7169" s="22"/>
    </row>
    <row r="7170" spans="1:1">
      <c r="A7170" s="22"/>
    </row>
    <row r="7171" spans="1:1">
      <c r="A7171" s="22"/>
    </row>
    <row r="7172" spans="1:1">
      <c r="A7172" s="22"/>
    </row>
    <row r="7173" spans="1:1">
      <c r="A7173" s="22"/>
    </row>
    <row r="7174" spans="1:1">
      <c r="A7174" s="22"/>
    </row>
    <row r="7175" spans="1:1">
      <c r="A7175" s="22"/>
    </row>
    <row r="7176" spans="1:1">
      <c r="A7176" s="22"/>
    </row>
    <row r="7177" spans="1:1">
      <c r="A7177" s="22"/>
    </row>
    <row r="7178" spans="1:1">
      <c r="A7178" s="22"/>
    </row>
    <row r="7179" spans="1:1">
      <c r="A7179" s="22"/>
    </row>
    <row r="7180" spans="1:1">
      <c r="A7180" s="22"/>
    </row>
    <row r="7181" spans="1:1">
      <c r="A7181" s="22"/>
    </row>
    <row r="7182" spans="1:1">
      <c r="A7182" s="22"/>
    </row>
    <row r="7183" spans="1:1">
      <c r="A7183" s="22"/>
    </row>
    <row r="7184" spans="1:1">
      <c r="A7184" s="22"/>
    </row>
    <row r="7185" spans="1:1">
      <c r="A7185" s="22"/>
    </row>
    <row r="7186" spans="1:1">
      <c r="A7186" s="22"/>
    </row>
    <row r="7187" spans="1:1">
      <c r="A7187" s="22"/>
    </row>
    <row r="7188" spans="1:1">
      <c r="A7188" s="22"/>
    </row>
    <row r="7189" spans="1:1">
      <c r="A7189" s="22"/>
    </row>
    <row r="7190" spans="1:1">
      <c r="A7190" s="22"/>
    </row>
    <row r="7191" spans="1:1">
      <c r="A7191" s="22"/>
    </row>
    <row r="7192" spans="1:1">
      <c r="A7192" s="22"/>
    </row>
    <row r="7193" spans="1:1">
      <c r="A7193" s="22"/>
    </row>
    <row r="7194" spans="1:1">
      <c r="A7194" s="22"/>
    </row>
    <row r="7195" spans="1:1">
      <c r="A7195" s="22"/>
    </row>
    <row r="7196" spans="1:1">
      <c r="A7196" s="22"/>
    </row>
    <row r="7197" spans="1:1">
      <c r="A7197" s="22"/>
    </row>
    <row r="7198" spans="1:1">
      <c r="A7198" s="22"/>
    </row>
    <row r="7199" spans="1:1">
      <c r="A7199" s="22"/>
    </row>
    <row r="7200" spans="1:1">
      <c r="A7200" s="22"/>
    </row>
    <row r="7201" spans="1:1">
      <c r="A7201" s="22"/>
    </row>
    <row r="7202" spans="1:1">
      <c r="A7202" s="22"/>
    </row>
    <row r="7203" spans="1:1">
      <c r="A7203" s="22"/>
    </row>
    <row r="7204" spans="1:1">
      <c r="A7204" s="22"/>
    </row>
    <row r="7205" spans="1:1">
      <c r="A7205" s="22"/>
    </row>
    <row r="7206" spans="1:1">
      <c r="A7206" s="22"/>
    </row>
    <row r="7207" spans="1:1">
      <c r="A7207" s="22"/>
    </row>
    <row r="7208" spans="1:1">
      <c r="A7208" s="22"/>
    </row>
    <row r="7209" spans="1:1">
      <c r="A7209" s="22"/>
    </row>
    <row r="7210" spans="1:1">
      <c r="A7210" s="22"/>
    </row>
    <row r="7211" spans="1:1">
      <c r="A7211" s="22"/>
    </row>
    <row r="7212" spans="1:1">
      <c r="A7212" s="22"/>
    </row>
    <row r="7213" spans="1:1">
      <c r="A7213" s="22"/>
    </row>
    <row r="7214" spans="1:1">
      <c r="A7214" s="22"/>
    </row>
    <row r="7215" spans="1:1">
      <c r="A7215" s="22"/>
    </row>
    <row r="7216" spans="1:1">
      <c r="A7216" s="22"/>
    </row>
    <row r="7217" spans="1:1">
      <c r="A7217" s="22"/>
    </row>
    <row r="7218" spans="1:1">
      <c r="A7218" s="22"/>
    </row>
    <row r="7219" spans="1:1">
      <c r="A7219" s="22"/>
    </row>
    <row r="7220" spans="1:1">
      <c r="A7220" s="22"/>
    </row>
    <row r="7221" spans="1:1">
      <c r="A7221" s="22"/>
    </row>
    <row r="7222" spans="1:1">
      <c r="A7222" s="22"/>
    </row>
    <row r="7223" spans="1:1">
      <c r="A7223" s="22"/>
    </row>
    <row r="7224" spans="1:1">
      <c r="A7224" s="22"/>
    </row>
    <row r="7225" spans="1:1">
      <c r="A7225" s="22"/>
    </row>
    <row r="7226" spans="1:1">
      <c r="A7226" s="22"/>
    </row>
    <row r="7227" spans="1:1">
      <c r="A7227" s="22"/>
    </row>
    <row r="7228" spans="1:1">
      <c r="A7228" s="22"/>
    </row>
    <row r="7229" spans="1:1">
      <c r="A7229" s="22"/>
    </row>
    <row r="7230" spans="1:1">
      <c r="A7230" s="22"/>
    </row>
    <row r="7231" spans="1:1">
      <c r="A7231" s="22"/>
    </row>
    <row r="7232" spans="1:1">
      <c r="A7232" s="22"/>
    </row>
    <row r="7233" spans="1:1">
      <c r="A7233" s="22"/>
    </row>
    <row r="7234" spans="1:1">
      <c r="A7234" s="22"/>
    </row>
    <row r="7235" spans="1:1">
      <c r="A7235" s="22"/>
    </row>
    <row r="7236" spans="1:1">
      <c r="A7236" s="22"/>
    </row>
    <row r="7237" spans="1:1">
      <c r="A7237" s="22"/>
    </row>
    <row r="7238" spans="1:1">
      <c r="A7238" s="22"/>
    </row>
    <row r="7239" spans="1:1">
      <c r="A7239" s="22"/>
    </row>
    <row r="7240" spans="1:1">
      <c r="A7240" s="22"/>
    </row>
    <row r="7241" spans="1:1">
      <c r="A7241" s="22"/>
    </row>
    <row r="7242" spans="1:1">
      <c r="A7242" s="22"/>
    </row>
    <row r="7243" spans="1:1">
      <c r="A7243" s="22"/>
    </row>
    <row r="7244" spans="1:1">
      <c r="A7244" s="22"/>
    </row>
    <row r="7245" spans="1:1">
      <c r="A7245" s="22"/>
    </row>
    <row r="7246" spans="1:1">
      <c r="A7246" s="22"/>
    </row>
    <row r="7247" spans="1:1">
      <c r="A7247" s="22"/>
    </row>
    <row r="7248" spans="1:1">
      <c r="A7248" s="22"/>
    </row>
    <row r="7249" spans="1:1">
      <c r="A7249" s="22"/>
    </row>
    <row r="7250" spans="1:1">
      <c r="A7250" s="22"/>
    </row>
    <row r="7251" spans="1:1">
      <c r="A7251" s="22"/>
    </row>
    <row r="7252" spans="1:1">
      <c r="A7252" s="22"/>
    </row>
    <row r="7253" spans="1:1">
      <c r="A7253" s="22"/>
    </row>
    <row r="7254" spans="1:1">
      <c r="A7254" s="22"/>
    </row>
    <row r="7255" spans="1:1">
      <c r="A7255" s="22"/>
    </row>
    <row r="7256" spans="1:1">
      <c r="A7256" s="22"/>
    </row>
    <row r="7257" spans="1:1">
      <c r="A7257" s="22"/>
    </row>
    <row r="7258" spans="1:1">
      <c r="A7258" s="22"/>
    </row>
    <row r="7259" spans="1:1">
      <c r="A7259" s="22"/>
    </row>
    <row r="7260" spans="1:1">
      <c r="A7260" s="22"/>
    </row>
    <row r="7261" spans="1:1">
      <c r="A7261" s="22"/>
    </row>
    <row r="7262" spans="1:1">
      <c r="A7262" s="22"/>
    </row>
    <row r="7263" spans="1:1">
      <c r="A7263" s="22"/>
    </row>
    <row r="7264" spans="1:1">
      <c r="A7264" s="22"/>
    </row>
    <row r="7265" spans="1:1">
      <c r="A7265" s="22"/>
    </row>
    <row r="7266" spans="1:1">
      <c r="A7266" s="22"/>
    </row>
    <row r="7267" spans="1:1">
      <c r="A7267" s="22"/>
    </row>
    <row r="7268" spans="1:1">
      <c r="A7268" s="22"/>
    </row>
    <row r="7269" spans="1:1">
      <c r="A7269" s="22"/>
    </row>
    <row r="7270" spans="1:1">
      <c r="A7270" s="22"/>
    </row>
    <row r="7271" spans="1:1">
      <c r="A7271" s="22"/>
    </row>
    <row r="7272" spans="1:1">
      <c r="A7272" s="22"/>
    </row>
    <row r="7273" spans="1:1">
      <c r="A7273" s="22"/>
    </row>
    <row r="7274" spans="1:1">
      <c r="A7274" s="22"/>
    </row>
    <row r="7275" spans="1:1">
      <c r="A7275" s="22"/>
    </row>
    <row r="7276" spans="1:1">
      <c r="A7276" s="22"/>
    </row>
    <row r="7277" spans="1:1">
      <c r="A7277" s="22"/>
    </row>
    <row r="7278" spans="1:1">
      <c r="A7278" s="22"/>
    </row>
    <row r="7279" spans="1:1">
      <c r="A7279" s="22"/>
    </row>
    <row r="7280" spans="1:1">
      <c r="A7280" s="22"/>
    </row>
    <row r="7281" spans="1:1">
      <c r="A7281" s="22"/>
    </row>
    <row r="7282" spans="1:1">
      <c r="A7282" s="22"/>
    </row>
    <row r="7283" spans="1:1">
      <c r="A7283" s="22"/>
    </row>
    <row r="7284" spans="1:1">
      <c r="A7284" s="22"/>
    </row>
    <row r="7285" spans="1:1">
      <c r="A7285" s="22"/>
    </row>
    <row r="7286" spans="1:1">
      <c r="A7286" s="22"/>
    </row>
    <row r="7287" spans="1:1">
      <c r="A7287" s="22"/>
    </row>
    <row r="7288" spans="1:1">
      <c r="A7288" s="22"/>
    </row>
    <row r="7289" spans="1:1">
      <c r="A7289" s="22"/>
    </row>
    <row r="7290" spans="1:1">
      <c r="A7290" s="22"/>
    </row>
    <row r="7291" spans="1:1">
      <c r="A7291" s="22"/>
    </row>
    <row r="7292" spans="1:1">
      <c r="A7292" s="22"/>
    </row>
    <row r="7293" spans="1:1">
      <c r="A7293" s="22"/>
    </row>
    <row r="7294" spans="1:1">
      <c r="A7294" s="22"/>
    </row>
    <row r="7295" spans="1:1">
      <c r="A7295" s="22"/>
    </row>
    <row r="7296" spans="1:1">
      <c r="A7296" s="22"/>
    </row>
    <row r="7297" spans="1:1">
      <c r="A7297" s="22"/>
    </row>
    <row r="7298" spans="1:1">
      <c r="A7298" s="22"/>
    </row>
    <row r="7299" spans="1:1">
      <c r="A7299" s="22"/>
    </row>
    <row r="7300" spans="1:1">
      <c r="A7300" s="22"/>
    </row>
    <row r="7301" spans="1:1">
      <c r="A7301" s="22"/>
    </row>
    <row r="7302" spans="1:1">
      <c r="A7302" s="22"/>
    </row>
    <row r="7303" spans="1:1">
      <c r="A7303" s="22"/>
    </row>
    <row r="7304" spans="1:1">
      <c r="A7304" s="22"/>
    </row>
    <row r="7305" spans="1:1">
      <c r="A7305" s="22"/>
    </row>
    <row r="7306" spans="1:1">
      <c r="A7306" s="22"/>
    </row>
    <row r="7307" spans="1:1">
      <c r="A7307" s="22"/>
    </row>
    <row r="7308" spans="1:1">
      <c r="A7308" s="22"/>
    </row>
    <row r="7309" spans="1:1">
      <c r="A7309" s="22"/>
    </row>
    <row r="7310" spans="1:1">
      <c r="A7310" s="22"/>
    </row>
    <row r="7311" spans="1:1">
      <c r="A7311" s="22"/>
    </row>
    <row r="7312" spans="1:1">
      <c r="A7312" s="22"/>
    </row>
    <row r="7313" spans="1:1">
      <c r="A7313" s="22"/>
    </row>
    <row r="7314" spans="1:1">
      <c r="A7314" s="22"/>
    </row>
    <row r="7315" spans="1:1">
      <c r="A7315" s="22"/>
    </row>
    <row r="7316" spans="1:1">
      <c r="A7316" s="22"/>
    </row>
    <row r="7317" spans="1:1">
      <c r="A7317" s="22"/>
    </row>
    <row r="7318" spans="1:1">
      <c r="A7318" s="22"/>
    </row>
    <row r="7319" spans="1:1">
      <c r="A7319" s="22"/>
    </row>
    <row r="7320" spans="1:1">
      <c r="A7320" s="22"/>
    </row>
    <row r="7321" spans="1:1">
      <c r="A7321" s="22"/>
    </row>
    <row r="7322" spans="1:1">
      <c r="A7322" s="22"/>
    </row>
    <row r="7323" spans="1:1">
      <c r="A7323" s="22"/>
    </row>
    <row r="7324" spans="1:1">
      <c r="A7324" s="22"/>
    </row>
    <row r="7325" spans="1:1">
      <c r="A7325" s="22"/>
    </row>
    <row r="7326" spans="1:1">
      <c r="A7326" s="22"/>
    </row>
    <row r="7327" spans="1:1">
      <c r="A7327" s="22"/>
    </row>
    <row r="7328" spans="1:1">
      <c r="A7328" s="22"/>
    </row>
    <row r="7329" spans="1:1">
      <c r="A7329" s="22"/>
    </row>
    <row r="7330" spans="1:1">
      <c r="A7330" s="22"/>
    </row>
    <row r="7331" spans="1:1">
      <c r="A7331" s="22"/>
    </row>
    <row r="7332" spans="1:1">
      <c r="A7332" s="22"/>
    </row>
    <row r="7333" spans="1:1">
      <c r="A7333" s="22"/>
    </row>
    <row r="7334" spans="1:1">
      <c r="A7334" s="22"/>
    </row>
    <row r="7335" spans="1:1">
      <c r="A7335" s="22"/>
    </row>
    <row r="7336" spans="1:1">
      <c r="A7336" s="22"/>
    </row>
    <row r="7337" spans="1:1">
      <c r="A7337" s="22"/>
    </row>
    <row r="7338" spans="1:1">
      <c r="A7338" s="22"/>
    </row>
    <row r="7339" spans="1:1">
      <c r="A7339" s="22"/>
    </row>
    <row r="7340" spans="1:1">
      <c r="A7340" s="22"/>
    </row>
    <row r="7341" spans="1:1">
      <c r="A7341" s="22"/>
    </row>
    <row r="7342" spans="1:1">
      <c r="A7342" s="22"/>
    </row>
    <row r="7343" spans="1:1">
      <c r="A7343" s="22"/>
    </row>
    <row r="7344" spans="1:1">
      <c r="A7344" s="22"/>
    </row>
    <row r="7345" spans="1:1">
      <c r="A7345" s="22"/>
    </row>
    <row r="7346" spans="1:1">
      <c r="A7346" s="22"/>
    </row>
    <row r="7347" spans="1:1">
      <c r="A7347" s="22"/>
    </row>
    <row r="7348" spans="1:1">
      <c r="A7348" s="22"/>
    </row>
    <row r="7349" spans="1:1">
      <c r="A7349" s="22"/>
    </row>
    <row r="7350" spans="1:1">
      <c r="A7350" s="22"/>
    </row>
    <row r="7351" spans="1:1">
      <c r="A7351" s="22"/>
    </row>
    <row r="7352" spans="1:1">
      <c r="A7352" s="22"/>
    </row>
    <row r="7353" spans="1:1">
      <c r="A7353" s="22"/>
    </row>
    <row r="7354" spans="1:1">
      <c r="A7354" s="22"/>
    </row>
    <row r="7355" spans="1:1">
      <c r="A7355" s="22"/>
    </row>
    <row r="7356" spans="1:1">
      <c r="A7356" s="22"/>
    </row>
    <row r="7357" spans="1:1">
      <c r="A7357" s="22"/>
    </row>
    <row r="7358" spans="1:1">
      <c r="A7358" s="22"/>
    </row>
    <row r="7359" spans="1:1">
      <c r="A7359" s="22"/>
    </row>
    <row r="7360" spans="1:1">
      <c r="A7360" s="22"/>
    </row>
    <row r="7361" spans="1:1">
      <c r="A7361" s="22"/>
    </row>
    <row r="7362" spans="1:1">
      <c r="A7362" s="22"/>
    </row>
    <row r="7363" spans="1:1">
      <c r="A7363" s="22"/>
    </row>
    <row r="7364" spans="1:1">
      <c r="A7364" s="22"/>
    </row>
    <row r="7365" spans="1:1">
      <c r="A7365" s="22"/>
    </row>
    <row r="7366" spans="1:1">
      <c r="A7366" s="22"/>
    </row>
    <row r="7367" spans="1:1">
      <c r="A7367" s="22"/>
    </row>
    <row r="7368" spans="1:1">
      <c r="A7368" s="22"/>
    </row>
    <row r="7369" spans="1:1">
      <c r="A7369" s="22"/>
    </row>
    <row r="7370" spans="1:1">
      <c r="A7370" s="22"/>
    </row>
    <row r="7371" spans="1:1">
      <c r="A7371" s="22"/>
    </row>
    <row r="7372" spans="1:1">
      <c r="A7372" s="22"/>
    </row>
    <row r="7373" spans="1:1">
      <c r="A7373" s="22"/>
    </row>
    <row r="7374" spans="1:1">
      <c r="A7374" s="22"/>
    </row>
    <row r="7375" spans="1:1">
      <c r="A7375" s="22"/>
    </row>
    <row r="7376" spans="1:1">
      <c r="A7376" s="22"/>
    </row>
    <row r="7377" spans="1:1">
      <c r="A7377" s="22"/>
    </row>
    <row r="7378" spans="1:1">
      <c r="A7378" s="22"/>
    </row>
    <row r="7379" spans="1:1">
      <c r="A7379" s="22"/>
    </row>
    <row r="7380" spans="1:1">
      <c r="A7380" s="22"/>
    </row>
    <row r="7381" spans="1:1">
      <c r="A7381" s="22"/>
    </row>
    <row r="7382" spans="1:1">
      <c r="A7382" s="22"/>
    </row>
    <row r="7383" spans="1:1">
      <c r="A7383" s="22"/>
    </row>
    <row r="7384" spans="1:1">
      <c r="A7384" s="22"/>
    </row>
    <row r="7385" spans="1:1">
      <c r="A7385" s="22"/>
    </row>
    <row r="7386" spans="1:1">
      <c r="A7386" s="22"/>
    </row>
    <row r="7387" spans="1:1">
      <c r="A7387" s="22"/>
    </row>
    <row r="7388" spans="1:1">
      <c r="A7388" s="22"/>
    </row>
    <row r="7389" spans="1:1">
      <c r="A7389" s="22"/>
    </row>
    <row r="7390" spans="1:1">
      <c r="A7390" s="22"/>
    </row>
    <row r="7391" spans="1:1">
      <c r="A7391" s="22"/>
    </row>
    <row r="7392" spans="1:1">
      <c r="A7392" s="22"/>
    </row>
    <row r="7393" spans="1:1">
      <c r="A7393" s="22"/>
    </row>
    <row r="7394" spans="1:1">
      <c r="A7394" s="22"/>
    </row>
    <row r="7395" spans="1:1">
      <c r="A7395" s="22"/>
    </row>
    <row r="7396" spans="1:1">
      <c r="A7396" s="22"/>
    </row>
    <row r="7397" spans="1:1">
      <c r="A7397" s="22"/>
    </row>
    <row r="7398" spans="1:1">
      <c r="A7398" s="22"/>
    </row>
    <row r="7399" spans="1:1">
      <c r="A7399" s="22"/>
    </row>
    <row r="7400" spans="1:1">
      <c r="A7400" s="22"/>
    </row>
    <row r="7401" spans="1:1">
      <c r="A7401" s="22"/>
    </row>
    <row r="7402" spans="1:1">
      <c r="A7402" s="22"/>
    </row>
    <row r="7403" spans="1:1">
      <c r="A7403" s="22"/>
    </row>
    <row r="7404" spans="1:1">
      <c r="A7404" s="22"/>
    </row>
    <row r="7405" spans="1:1">
      <c r="A7405" s="22"/>
    </row>
    <row r="7406" spans="1:1">
      <c r="A7406" s="22"/>
    </row>
    <row r="7407" spans="1:1">
      <c r="A7407" s="22"/>
    </row>
    <row r="7408" spans="1:1">
      <c r="A7408" s="22"/>
    </row>
    <row r="7409" spans="1:1">
      <c r="A7409" s="22"/>
    </row>
    <row r="7410" spans="1:1">
      <c r="A7410" s="22"/>
    </row>
    <row r="7411" spans="1:1">
      <c r="A7411" s="22"/>
    </row>
    <row r="7412" spans="1:1">
      <c r="A7412" s="22"/>
    </row>
    <row r="7413" spans="1:1">
      <c r="A7413" s="22"/>
    </row>
    <row r="7414" spans="1:1">
      <c r="A7414" s="22"/>
    </row>
    <row r="7415" spans="1:1">
      <c r="A7415" s="22"/>
    </row>
    <row r="7416" spans="1:1">
      <c r="A7416" s="22"/>
    </row>
    <row r="7417" spans="1:1">
      <c r="A7417" s="22"/>
    </row>
    <row r="7418" spans="1:1">
      <c r="A7418" s="22"/>
    </row>
    <row r="7419" spans="1:1">
      <c r="A7419" s="22"/>
    </row>
    <row r="7420" spans="1:1">
      <c r="A7420" s="22"/>
    </row>
    <row r="7421" spans="1:1">
      <c r="A7421" s="22"/>
    </row>
    <row r="7422" spans="1:1">
      <c r="A7422" s="22"/>
    </row>
    <row r="7423" spans="1:1">
      <c r="A7423" s="22"/>
    </row>
    <row r="7424" spans="1:1">
      <c r="A7424" s="22"/>
    </row>
    <row r="7425" spans="1:1">
      <c r="A7425" s="22"/>
    </row>
    <row r="7426" spans="1:1">
      <c r="A7426" s="22"/>
    </row>
    <row r="7427" spans="1:1">
      <c r="A7427" s="22"/>
    </row>
    <row r="7428" spans="1:1">
      <c r="A7428" s="22"/>
    </row>
    <row r="7429" spans="1:1">
      <c r="A7429" s="22"/>
    </row>
    <row r="7430" spans="1:1">
      <c r="A7430" s="22"/>
    </row>
    <row r="7431" spans="1:1">
      <c r="A7431" s="22"/>
    </row>
    <row r="7432" spans="1:1">
      <c r="A7432" s="22"/>
    </row>
    <row r="7433" spans="1:1">
      <c r="A7433" s="22"/>
    </row>
    <row r="7434" spans="1:1">
      <c r="A7434" s="22"/>
    </row>
    <row r="7435" spans="1:1">
      <c r="A7435" s="22"/>
    </row>
    <row r="7436" spans="1:1">
      <c r="A7436" s="22"/>
    </row>
    <row r="7437" spans="1:1">
      <c r="A7437" s="22"/>
    </row>
    <row r="7438" spans="1:1">
      <c r="A7438" s="22"/>
    </row>
    <row r="7439" spans="1:1">
      <c r="A7439" s="22"/>
    </row>
    <row r="7440" spans="1:1">
      <c r="A7440" s="22"/>
    </row>
    <row r="7441" spans="1:1">
      <c r="A7441" s="22"/>
    </row>
    <row r="7442" spans="1:1">
      <c r="A7442" s="22"/>
    </row>
    <row r="7443" spans="1:1">
      <c r="A7443" s="22"/>
    </row>
    <row r="7444" spans="1:1">
      <c r="A7444" s="22"/>
    </row>
    <row r="7445" spans="1:1">
      <c r="A7445" s="22"/>
    </row>
    <row r="7446" spans="1:1">
      <c r="A7446" s="22"/>
    </row>
    <row r="7447" spans="1:1">
      <c r="A7447" s="22"/>
    </row>
    <row r="7448" spans="1:1">
      <c r="A7448" s="22"/>
    </row>
    <row r="7449" spans="1:1">
      <c r="A7449" s="22"/>
    </row>
    <row r="7450" spans="1:1">
      <c r="A7450" s="22"/>
    </row>
    <row r="7451" spans="1:1">
      <c r="A7451" s="22"/>
    </row>
    <row r="7452" spans="1:1">
      <c r="A7452" s="22"/>
    </row>
    <row r="7453" spans="1:1">
      <c r="A7453" s="22"/>
    </row>
    <row r="7454" spans="1:1">
      <c r="A7454" s="22"/>
    </row>
    <row r="7455" spans="1:1">
      <c r="A7455" s="22"/>
    </row>
    <row r="7456" spans="1:1">
      <c r="A7456" s="22"/>
    </row>
    <row r="7457" spans="1:1">
      <c r="A7457" s="22"/>
    </row>
    <row r="7458" spans="1:1">
      <c r="A7458" s="22"/>
    </row>
    <row r="7459" spans="1:1">
      <c r="A7459" s="22"/>
    </row>
    <row r="7460" spans="1:1">
      <c r="A7460" s="22"/>
    </row>
    <row r="7461" spans="1:1">
      <c r="A7461" s="22"/>
    </row>
    <row r="7462" spans="1:1">
      <c r="A7462" s="22"/>
    </row>
    <row r="7463" spans="1:1">
      <c r="A7463" s="22"/>
    </row>
    <row r="7464" spans="1:1">
      <c r="A7464" s="22"/>
    </row>
    <row r="7465" spans="1:1">
      <c r="A7465" s="22"/>
    </row>
    <row r="7466" spans="1:1">
      <c r="A7466" s="22"/>
    </row>
    <row r="7467" spans="1:1">
      <c r="A7467" s="22"/>
    </row>
    <row r="7468" spans="1:1">
      <c r="A7468" s="22"/>
    </row>
    <row r="7469" spans="1:1">
      <c r="A7469" s="22"/>
    </row>
    <row r="7470" spans="1:1">
      <c r="A7470" s="22"/>
    </row>
    <row r="7471" spans="1:1">
      <c r="A7471" s="22"/>
    </row>
    <row r="7472" spans="1:1">
      <c r="A7472" s="22"/>
    </row>
    <row r="7473" spans="1:1">
      <c r="A7473" s="22"/>
    </row>
    <row r="7474" spans="1:1">
      <c r="A7474" s="22"/>
    </row>
    <row r="7475" spans="1:1">
      <c r="A7475" s="22"/>
    </row>
    <row r="7476" spans="1:1">
      <c r="A7476" s="22"/>
    </row>
    <row r="7477" spans="1:1">
      <c r="A7477" s="22"/>
    </row>
    <row r="7478" spans="1:1">
      <c r="A7478" s="22"/>
    </row>
    <row r="7479" spans="1:1">
      <c r="A7479" s="22"/>
    </row>
    <row r="7480" spans="1:1">
      <c r="A7480" s="22"/>
    </row>
    <row r="7481" spans="1:1">
      <c r="A7481" s="22"/>
    </row>
    <row r="7482" spans="1:1">
      <c r="A7482" s="22"/>
    </row>
    <row r="7483" spans="1:1">
      <c r="A7483" s="22"/>
    </row>
    <row r="7484" spans="1:1">
      <c r="A7484" s="22"/>
    </row>
    <row r="7485" spans="1:1">
      <c r="A7485" s="22"/>
    </row>
    <row r="7486" spans="1:1">
      <c r="A7486" s="22"/>
    </row>
    <row r="7487" spans="1:1">
      <c r="A7487" s="22"/>
    </row>
    <row r="7488" spans="1:1">
      <c r="A7488" s="22"/>
    </row>
    <row r="7489" spans="1:1">
      <c r="A7489" s="22"/>
    </row>
    <row r="7490" spans="1:1">
      <c r="A7490" s="22"/>
    </row>
    <row r="7491" spans="1:1">
      <c r="A7491" s="22"/>
    </row>
    <row r="7492" spans="1:1">
      <c r="A7492" s="22"/>
    </row>
    <row r="7493" spans="1:1">
      <c r="A7493" s="22"/>
    </row>
    <row r="7494" spans="1:1">
      <c r="A7494" s="22"/>
    </row>
    <row r="7495" spans="1:1">
      <c r="A7495" s="22"/>
    </row>
    <row r="7496" spans="1:1">
      <c r="A7496" s="22"/>
    </row>
    <row r="7497" spans="1:1">
      <c r="A7497" s="22"/>
    </row>
    <row r="7498" spans="1:1">
      <c r="A7498" s="22"/>
    </row>
    <row r="7499" spans="1:1">
      <c r="A7499" s="22"/>
    </row>
    <row r="7500" spans="1:1">
      <c r="A7500" s="22"/>
    </row>
    <row r="7501" spans="1:1">
      <c r="A7501" s="22"/>
    </row>
    <row r="7502" spans="1:1">
      <c r="A7502" s="22"/>
    </row>
    <row r="7503" spans="1:1">
      <c r="A7503" s="22"/>
    </row>
    <row r="7504" spans="1:1">
      <c r="A7504" s="22"/>
    </row>
    <row r="7505" spans="1:1">
      <c r="A7505" s="22"/>
    </row>
    <row r="7506" spans="1:1">
      <c r="A7506" s="22"/>
    </row>
    <row r="7507" spans="1:1">
      <c r="A7507" s="22"/>
    </row>
    <row r="7508" spans="1:1">
      <c r="A7508" s="22"/>
    </row>
    <row r="7509" spans="1:1">
      <c r="A7509" s="22"/>
    </row>
    <row r="7510" spans="1:1">
      <c r="A7510" s="22"/>
    </row>
    <row r="7511" spans="1:1">
      <c r="A7511" s="22"/>
    </row>
    <row r="7512" spans="1:1">
      <c r="A7512" s="22"/>
    </row>
    <row r="7513" spans="1:1">
      <c r="A7513" s="22"/>
    </row>
    <row r="7514" spans="1:1">
      <c r="A7514" s="22"/>
    </row>
    <row r="7515" spans="1:1">
      <c r="A7515" s="22"/>
    </row>
    <row r="7516" spans="1:1">
      <c r="A7516" s="22"/>
    </row>
    <row r="7517" spans="1:1">
      <c r="A7517" s="22"/>
    </row>
    <row r="7518" spans="1:1">
      <c r="A7518" s="22"/>
    </row>
    <row r="7519" spans="1:1">
      <c r="A7519" s="22"/>
    </row>
    <row r="7520" spans="1:1">
      <c r="A7520" s="22"/>
    </row>
    <row r="7521" spans="1:1">
      <c r="A7521" s="22"/>
    </row>
    <row r="7522" spans="1:1">
      <c r="A7522" s="22"/>
    </row>
    <row r="7523" spans="1:1">
      <c r="A7523" s="22"/>
    </row>
    <row r="7524" spans="1:1">
      <c r="A7524" s="22"/>
    </row>
    <row r="7525" spans="1:1">
      <c r="A7525" s="22"/>
    </row>
    <row r="7526" spans="1:1">
      <c r="A7526" s="22"/>
    </row>
    <row r="7527" spans="1:1">
      <c r="A7527" s="22"/>
    </row>
    <row r="7528" spans="1:1">
      <c r="A7528" s="22"/>
    </row>
    <row r="7529" spans="1:1">
      <c r="A7529" s="22"/>
    </row>
    <row r="7530" spans="1:1">
      <c r="A7530" s="22"/>
    </row>
    <row r="7531" spans="1:1">
      <c r="A7531" s="22"/>
    </row>
    <row r="7532" spans="1:1">
      <c r="A7532" s="22"/>
    </row>
    <row r="7533" spans="1:1">
      <c r="A7533" s="22"/>
    </row>
    <row r="7534" spans="1:1">
      <c r="A7534" s="22"/>
    </row>
    <row r="7535" spans="1:1">
      <c r="A7535" s="22"/>
    </row>
    <row r="7536" spans="1:1">
      <c r="A7536" s="22"/>
    </row>
    <row r="7537" spans="1:1">
      <c r="A7537" s="22"/>
    </row>
    <row r="7538" spans="1:1">
      <c r="A7538" s="22"/>
    </row>
    <row r="7539" spans="1:1">
      <c r="A7539" s="22"/>
    </row>
    <row r="7540" spans="1:1">
      <c r="A7540" s="22"/>
    </row>
    <row r="7541" spans="1:1">
      <c r="A7541" s="22"/>
    </row>
    <row r="7542" spans="1:1">
      <c r="A7542" s="22"/>
    </row>
    <row r="7543" spans="1:1">
      <c r="A7543" s="22"/>
    </row>
    <row r="7544" spans="1:1">
      <c r="A7544" s="22"/>
    </row>
    <row r="7545" spans="1:1">
      <c r="A7545" s="22"/>
    </row>
    <row r="7546" spans="1:1">
      <c r="A7546" s="22"/>
    </row>
    <row r="7547" spans="1:1">
      <c r="A7547" s="22"/>
    </row>
    <row r="7548" spans="1:1">
      <c r="A7548" s="22"/>
    </row>
    <row r="7549" spans="1:1">
      <c r="A7549" s="22"/>
    </row>
    <row r="7550" spans="1:1">
      <c r="A7550" s="22"/>
    </row>
    <row r="7551" spans="1:1">
      <c r="A7551" s="22"/>
    </row>
    <row r="7552" spans="1:1">
      <c r="A7552" s="22"/>
    </row>
    <row r="7553" spans="1:1">
      <c r="A7553" s="22"/>
    </row>
    <row r="7554" spans="1:1">
      <c r="A7554" s="22"/>
    </row>
    <row r="7555" spans="1:1">
      <c r="A7555" s="22"/>
    </row>
    <row r="7556" spans="1:1">
      <c r="A7556" s="22"/>
    </row>
    <row r="7557" spans="1:1">
      <c r="A7557" s="22"/>
    </row>
    <row r="7558" spans="1:1">
      <c r="A7558" s="22"/>
    </row>
    <row r="7559" spans="1:1">
      <c r="A7559" s="22"/>
    </row>
    <row r="7560" spans="1:1">
      <c r="A7560" s="22"/>
    </row>
    <row r="7561" spans="1:1">
      <c r="A7561" s="22"/>
    </row>
    <row r="7562" spans="1:1">
      <c r="A7562" s="22"/>
    </row>
    <row r="7563" spans="1:1">
      <c r="A7563" s="22"/>
    </row>
    <row r="7564" spans="1:1">
      <c r="A7564" s="22"/>
    </row>
    <row r="7565" spans="1:1">
      <c r="A7565" s="22"/>
    </row>
    <row r="7566" spans="1:1">
      <c r="A7566" s="22"/>
    </row>
    <row r="7567" spans="1:1">
      <c r="A7567" s="22"/>
    </row>
    <row r="7568" spans="1:1">
      <c r="A7568" s="22"/>
    </row>
    <row r="7569" spans="1:1">
      <c r="A7569" s="22"/>
    </row>
    <row r="7570" spans="1:1">
      <c r="A7570" s="22"/>
    </row>
    <row r="7571" spans="1:1">
      <c r="A7571" s="22"/>
    </row>
    <row r="7572" spans="1:1">
      <c r="A7572" s="22"/>
    </row>
    <row r="7573" spans="1:1">
      <c r="A7573" s="22"/>
    </row>
    <row r="7574" spans="1:1">
      <c r="A7574" s="22"/>
    </row>
    <row r="7575" spans="1:1">
      <c r="A7575" s="22"/>
    </row>
    <row r="7576" spans="1:1">
      <c r="A7576" s="22"/>
    </row>
    <row r="7577" spans="1:1">
      <c r="A7577" s="22"/>
    </row>
    <row r="7578" spans="1:1">
      <c r="A7578" s="22"/>
    </row>
    <row r="7579" spans="1:1">
      <c r="A7579" s="22"/>
    </row>
    <row r="7580" spans="1:1">
      <c r="A7580" s="22"/>
    </row>
    <row r="7581" spans="1:1">
      <c r="A7581" s="22"/>
    </row>
    <row r="7582" spans="1:1">
      <c r="A7582" s="22"/>
    </row>
    <row r="7583" spans="1:1">
      <c r="A7583" s="22"/>
    </row>
    <row r="7584" spans="1:1">
      <c r="A7584" s="22"/>
    </row>
    <row r="7585" spans="1:1">
      <c r="A7585" s="22"/>
    </row>
    <row r="7586" spans="1:1">
      <c r="A7586" s="22"/>
    </row>
    <row r="7587" spans="1:1">
      <c r="A7587" s="22"/>
    </row>
    <row r="7588" spans="1:1">
      <c r="A7588" s="22"/>
    </row>
    <row r="7589" spans="1:1">
      <c r="A7589" s="22"/>
    </row>
    <row r="7590" spans="1:1">
      <c r="A7590" s="22"/>
    </row>
    <row r="7591" spans="1:1">
      <c r="A7591" s="22"/>
    </row>
    <row r="7592" spans="1:1">
      <c r="A7592" s="22"/>
    </row>
    <row r="7593" spans="1:1">
      <c r="A7593" s="22"/>
    </row>
    <row r="7594" spans="1:1">
      <c r="A7594" s="22"/>
    </row>
    <row r="7595" spans="1:1">
      <c r="A7595" s="22"/>
    </row>
    <row r="7596" spans="1:1">
      <c r="A7596" s="22"/>
    </row>
    <row r="7597" spans="1:1">
      <c r="A7597" s="22"/>
    </row>
    <row r="7598" spans="1:1">
      <c r="A7598" s="22"/>
    </row>
    <row r="7599" spans="1:1">
      <c r="A7599" s="22"/>
    </row>
    <row r="7600" spans="1:1">
      <c r="A7600" s="22"/>
    </row>
    <row r="7601" spans="1:1">
      <c r="A7601" s="22"/>
    </row>
    <row r="7602" spans="1:1">
      <c r="A7602" s="22"/>
    </row>
    <row r="7603" spans="1:1">
      <c r="A7603" s="22"/>
    </row>
    <row r="7604" spans="1:1">
      <c r="A7604" s="22"/>
    </row>
    <row r="7605" spans="1:1">
      <c r="A7605" s="22"/>
    </row>
    <row r="7606" spans="1:1">
      <c r="A7606" s="22"/>
    </row>
    <row r="7607" spans="1:1">
      <c r="A7607" s="22"/>
    </row>
    <row r="7608" spans="1:1">
      <c r="A7608" s="22"/>
    </row>
    <row r="7609" spans="1:1">
      <c r="A7609" s="22"/>
    </row>
    <row r="7610" spans="1:1">
      <c r="A7610" s="22"/>
    </row>
    <row r="7611" spans="1:1">
      <c r="A7611" s="22"/>
    </row>
    <row r="7612" spans="1:1">
      <c r="A7612" s="22"/>
    </row>
    <row r="7613" spans="1:1">
      <c r="A7613" s="22"/>
    </row>
    <row r="7614" spans="1:1">
      <c r="A7614" s="22"/>
    </row>
    <row r="7615" spans="1:1">
      <c r="A7615" s="22"/>
    </row>
    <row r="7616" spans="1:1">
      <c r="A7616" s="22"/>
    </row>
    <row r="7617" spans="1:1">
      <c r="A7617" s="22"/>
    </row>
    <row r="7618" spans="1:1">
      <c r="A7618" s="22"/>
    </row>
    <row r="7619" spans="1:1">
      <c r="A7619" s="22"/>
    </row>
    <row r="7620" spans="1:1">
      <c r="A7620" s="22"/>
    </row>
    <row r="7621" spans="1:1">
      <c r="A7621" s="22"/>
    </row>
    <row r="7622" spans="1:1">
      <c r="A7622" s="22"/>
    </row>
    <row r="7623" spans="1:1">
      <c r="A7623" s="22"/>
    </row>
    <row r="7624" spans="1:1">
      <c r="A7624" s="22"/>
    </row>
    <row r="7625" spans="1:1">
      <c r="A7625" s="22"/>
    </row>
    <row r="7626" spans="1:1">
      <c r="A7626" s="22"/>
    </row>
    <row r="7627" spans="1:1">
      <c r="A7627" s="22"/>
    </row>
    <row r="7628" spans="1:1">
      <c r="A7628" s="22"/>
    </row>
    <row r="7629" spans="1:1">
      <c r="A7629" s="22"/>
    </row>
    <row r="7630" spans="1:1">
      <c r="A7630" s="22"/>
    </row>
    <row r="7631" spans="1:1">
      <c r="A7631" s="22"/>
    </row>
    <row r="7632" spans="1:1">
      <c r="A7632" s="22"/>
    </row>
    <row r="7633" spans="1:1">
      <c r="A7633" s="22"/>
    </row>
    <row r="7634" spans="1:1">
      <c r="A7634" s="22"/>
    </row>
    <row r="7635" spans="1:1">
      <c r="A7635" s="22"/>
    </row>
    <row r="7636" spans="1:1">
      <c r="A7636" s="22"/>
    </row>
    <row r="7637" spans="1:1">
      <c r="A7637" s="22"/>
    </row>
    <row r="7638" spans="1:1">
      <c r="A7638" s="22"/>
    </row>
    <row r="7639" spans="1:1">
      <c r="A7639" s="22"/>
    </row>
    <row r="7640" spans="1:1">
      <c r="A7640" s="22"/>
    </row>
    <row r="7641" spans="1:1">
      <c r="A7641" s="22"/>
    </row>
    <row r="7642" spans="1:1">
      <c r="A7642" s="22"/>
    </row>
    <row r="7643" spans="1:1">
      <c r="A7643" s="22"/>
    </row>
    <row r="7644" spans="1:1">
      <c r="A7644" s="22"/>
    </row>
    <row r="7645" spans="1:1">
      <c r="A7645" s="22"/>
    </row>
    <row r="7646" spans="1:1">
      <c r="A7646" s="22"/>
    </row>
    <row r="7647" spans="1:1">
      <c r="A7647" s="22"/>
    </row>
    <row r="7648" spans="1:1">
      <c r="A7648" s="22"/>
    </row>
    <row r="7649" spans="1:1">
      <c r="A7649" s="22"/>
    </row>
    <row r="7650" spans="1:1">
      <c r="A7650" s="22"/>
    </row>
    <row r="7651" spans="1:1">
      <c r="A7651" s="22"/>
    </row>
    <row r="7652" spans="1:1">
      <c r="A7652" s="22"/>
    </row>
    <row r="7653" spans="1:1">
      <c r="A7653" s="22"/>
    </row>
    <row r="7654" spans="1:1">
      <c r="A7654" s="22"/>
    </row>
    <row r="7655" spans="1:1">
      <c r="A7655" s="22"/>
    </row>
    <row r="7656" spans="1:1">
      <c r="A7656" s="22"/>
    </row>
    <row r="7657" spans="1:1">
      <c r="A7657" s="22"/>
    </row>
    <row r="7658" spans="1:1">
      <c r="A7658" s="22"/>
    </row>
    <row r="7659" spans="1:1">
      <c r="A7659" s="22"/>
    </row>
    <row r="7660" spans="1:1">
      <c r="A7660" s="22"/>
    </row>
    <row r="7661" spans="1:1">
      <c r="A7661" s="22"/>
    </row>
    <row r="7662" spans="1:1">
      <c r="A7662" s="22"/>
    </row>
    <row r="7663" spans="1:1">
      <c r="A7663" s="22"/>
    </row>
    <row r="7664" spans="1:1">
      <c r="A7664" s="22"/>
    </row>
    <row r="7665" spans="1:1">
      <c r="A7665" s="22"/>
    </row>
    <row r="7666" spans="1:1">
      <c r="A7666" s="22"/>
    </row>
    <row r="7667" spans="1:1">
      <c r="A7667" s="22"/>
    </row>
    <row r="7668" spans="1:1">
      <c r="A7668" s="22"/>
    </row>
    <row r="7669" spans="1:1">
      <c r="A7669" s="22"/>
    </row>
    <row r="7670" spans="1:1">
      <c r="A7670" s="22"/>
    </row>
    <row r="7671" spans="1:1">
      <c r="A7671" s="22"/>
    </row>
    <row r="7672" spans="1:1">
      <c r="A7672" s="22"/>
    </row>
    <row r="7673" spans="1:1">
      <c r="A7673" s="22"/>
    </row>
    <row r="7674" spans="1:1">
      <c r="A7674" s="22"/>
    </row>
    <row r="7675" spans="1:1">
      <c r="A7675" s="22"/>
    </row>
    <row r="7676" spans="1:1">
      <c r="A7676" s="22"/>
    </row>
    <row r="7677" spans="1:1">
      <c r="A7677" s="22"/>
    </row>
    <row r="7678" spans="1:1">
      <c r="A7678" s="22"/>
    </row>
    <row r="7679" spans="1:1">
      <c r="A7679" s="22"/>
    </row>
    <row r="7680" spans="1:1">
      <c r="A7680" s="22"/>
    </row>
    <row r="7681" spans="1:1">
      <c r="A7681" s="22"/>
    </row>
    <row r="7682" spans="1:1">
      <c r="A7682" s="22"/>
    </row>
    <row r="7683" spans="1:1">
      <c r="A7683" s="22"/>
    </row>
    <row r="7684" spans="1:1">
      <c r="A7684" s="22"/>
    </row>
    <row r="7685" spans="1:1">
      <c r="A7685" s="22"/>
    </row>
    <row r="7686" spans="1:1">
      <c r="A7686" s="22"/>
    </row>
    <row r="7687" spans="1:1">
      <c r="A7687" s="22"/>
    </row>
    <row r="7688" spans="1:1">
      <c r="A7688" s="22"/>
    </row>
    <row r="7689" spans="1:1">
      <c r="A7689" s="22"/>
    </row>
    <row r="7690" spans="1:1">
      <c r="A7690" s="22"/>
    </row>
    <row r="7691" spans="1:1">
      <c r="A7691" s="22"/>
    </row>
    <row r="7692" spans="1:1">
      <c r="A7692" s="22"/>
    </row>
    <row r="7693" spans="1:1">
      <c r="A7693" s="22"/>
    </row>
    <row r="7694" spans="1:1">
      <c r="A7694" s="22"/>
    </row>
    <row r="7695" spans="1:1">
      <c r="A7695" s="22"/>
    </row>
    <row r="7696" spans="1:1">
      <c r="A7696" s="22"/>
    </row>
    <row r="7697" spans="1:1">
      <c r="A7697" s="22"/>
    </row>
    <row r="7698" spans="1:1">
      <c r="A7698" s="22"/>
    </row>
    <row r="7699" spans="1:1">
      <c r="A7699" s="22"/>
    </row>
    <row r="7700" spans="1:1">
      <c r="A7700" s="22"/>
    </row>
    <row r="7701" spans="1:1">
      <c r="A7701" s="22"/>
    </row>
    <row r="7702" spans="1:1">
      <c r="A7702" s="22"/>
    </row>
    <row r="7703" spans="1:1">
      <c r="A7703" s="22"/>
    </row>
    <row r="7704" spans="1:1">
      <c r="A7704" s="22"/>
    </row>
    <row r="7705" spans="1:1">
      <c r="A7705" s="22"/>
    </row>
    <row r="7706" spans="1:1">
      <c r="A7706" s="22"/>
    </row>
    <row r="7707" spans="1:1">
      <c r="A7707" s="22"/>
    </row>
    <row r="7708" spans="1:1">
      <c r="A7708" s="22"/>
    </row>
    <row r="7709" spans="1:1">
      <c r="A7709" s="22"/>
    </row>
    <row r="7710" spans="1:1">
      <c r="A7710" s="22"/>
    </row>
    <row r="7711" spans="1:1">
      <c r="A7711" s="22"/>
    </row>
    <row r="7712" spans="1:1">
      <c r="A7712" s="22"/>
    </row>
    <row r="7713" spans="1:1">
      <c r="A7713" s="22"/>
    </row>
    <row r="7714" spans="1:1">
      <c r="A7714" s="22"/>
    </row>
    <row r="7715" spans="1:1">
      <c r="A7715" s="22"/>
    </row>
    <row r="7716" spans="1:1">
      <c r="A7716" s="22"/>
    </row>
    <row r="7717" spans="1:1">
      <c r="A7717" s="22"/>
    </row>
    <row r="7718" spans="1:1">
      <c r="A7718" s="22"/>
    </row>
    <row r="7719" spans="1:1">
      <c r="A7719" s="22"/>
    </row>
    <row r="7720" spans="1:1">
      <c r="A7720" s="22"/>
    </row>
    <row r="7721" spans="1:1">
      <c r="A7721" s="22"/>
    </row>
    <row r="7722" spans="1:1">
      <c r="A7722" s="22"/>
    </row>
    <row r="7723" spans="1:1">
      <c r="A7723" s="22"/>
    </row>
    <row r="7724" spans="1:1">
      <c r="A7724" s="22"/>
    </row>
    <row r="7725" spans="1:1">
      <c r="A7725" s="22"/>
    </row>
    <row r="7726" spans="1:1">
      <c r="A7726" s="22"/>
    </row>
    <row r="7727" spans="1:1">
      <c r="A7727" s="22"/>
    </row>
    <row r="7728" spans="1:1">
      <c r="A7728" s="22"/>
    </row>
    <row r="7729" spans="1:1">
      <c r="A7729" s="22"/>
    </row>
    <row r="7730" spans="1:1">
      <c r="A7730" s="22"/>
    </row>
    <row r="7731" spans="1:1">
      <c r="A7731" s="22"/>
    </row>
    <row r="7732" spans="1:1">
      <c r="A7732" s="22"/>
    </row>
    <row r="7733" spans="1:1">
      <c r="A7733" s="22"/>
    </row>
    <row r="7734" spans="1:1">
      <c r="A7734" s="22"/>
    </row>
    <row r="7735" spans="1:1">
      <c r="A7735" s="22"/>
    </row>
    <row r="7736" spans="1:1">
      <c r="A7736" s="22"/>
    </row>
    <row r="7737" spans="1:1">
      <c r="A7737" s="22"/>
    </row>
    <row r="7738" spans="1:1">
      <c r="A7738" s="22"/>
    </row>
    <row r="7739" spans="1:1">
      <c r="A7739" s="22"/>
    </row>
    <row r="7740" spans="1:1">
      <c r="A7740" s="22"/>
    </row>
    <row r="7741" spans="1:1">
      <c r="A7741" s="22"/>
    </row>
    <row r="7742" spans="1:1">
      <c r="A7742" s="22"/>
    </row>
    <row r="7743" spans="1:1">
      <c r="A7743" s="22"/>
    </row>
    <row r="7744" spans="1:1">
      <c r="A7744" s="22"/>
    </row>
    <row r="7745" spans="1:1">
      <c r="A7745" s="22"/>
    </row>
    <row r="7746" spans="1:1">
      <c r="A7746" s="22"/>
    </row>
    <row r="7747" spans="1:1">
      <c r="A7747" s="22"/>
    </row>
    <row r="7748" spans="1:1">
      <c r="A7748" s="22"/>
    </row>
    <row r="7749" spans="1:1">
      <c r="A7749" s="22"/>
    </row>
    <row r="7750" spans="1:1">
      <c r="A7750" s="22"/>
    </row>
    <row r="7751" spans="1:1">
      <c r="A7751" s="22"/>
    </row>
    <row r="7752" spans="1:1">
      <c r="A7752" s="22"/>
    </row>
    <row r="7753" spans="1:1">
      <c r="A7753" s="22"/>
    </row>
    <row r="7754" spans="1:1">
      <c r="A7754" s="22"/>
    </row>
    <row r="7755" spans="1:1">
      <c r="A7755" s="22"/>
    </row>
    <row r="7756" spans="1:1">
      <c r="A7756" s="22"/>
    </row>
    <row r="7757" spans="1:1">
      <c r="A7757" s="22"/>
    </row>
    <row r="7758" spans="1:1">
      <c r="A7758" s="22"/>
    </row>
    <row r="7759" spans="1:1">
      <c r="A7759" s="22"/>
    </row>
    <row r="7760" spans="1:1">
      <c r="A7760" s="22"/>
    </row>
    <row r="7761" spans="1:1">
      <c r="A7761" s="22"/>
    </row>
    <row r="7762" spans="1:1">
      <c r="A7762" s="22"/>
    </row>
    <row r="7763" spans="1:1">
      <c r="A7763" s="22"/>
    </row>
    <row r="7764" spans="1:1">
      <c r="A7764" s="22"/>
    </row>
    <row r="7765" spans="1:1">
      <c r="A7765" s="22"/>
    </row>
    <row r="7766" spans="1:1">
      <c r="A7766" s="22"/>
    </row>
    <row r="7767" spans="1:1">
      <c r="A7767" s="22"/>
    </row>
    <row r="7768" spans="1:1">
      <c r="A7768" s="22"/>
    </row>
    <row r="7769" spans="1:1">
      <c r="A7769" s="22"/>
    </row>
    <row r="7770" spans="1:1">
      <c r="A7770" s="22"/>
    </row>
    <row r="7771" spans="1:1">
      <c r="A7771" s="22"/>
    </row>
    <row r="7772" spans="1:1">
      <c r="A7772" s="22"/>
    </row>
    <row r="7773" spans="1:1">
      <c r="A7773" s="22"/>
    </row>
    <row r="7774" spans="1:1">
      <c r="A7774" s="22"/>
    </row>
    <row r="7775" spans="1:1">
      <c r="A7775" s="22"/>
    </row>
    <row r="7776" spans="1:1">
      <c r="A7776" s="22"/>
    </row>
    <row r="7777" spans="1:1">
      <c r="A7777" s="22"/>
    </row>
    <row r="7778" spans="1:1">
      <c r="A7778" s="22"/>
    </row>
    <row r="7779" spans="1:1">
      <c r="A7779" s="22"/>
    </row>
    <row r="7780" spans="1:1">
      <c r="A7780" s="22"/>
    </row>
    <row r="7781" spans="1:1">
      <c r="A7781" s="22"/>
    </row>
    <row r="7782" spans="1:1">
      <c r="A7782" s="22"/>
    </row>
    <row r="7783" spans="1:1">
      <c r="A7783" s="22"/>
    </row>
    <row r="7784" spans="1:1">
      <c r="A7784" s="22"/>
    </row>
    <row r="7785" spans="1:1">
      <c r="A7785" s="22"/>
    </row>
    <row r="7786" spans="1:1">
      <c r="A7786" s="22"/>
    </row>
    <row r="7787" spans="1:1">
      <c r="A7787" s="22"/>
    </row>
    <row r="7788" spans="1:1">
      <c r="A7788" s="22"/>
    </row>
    <row r="7789" spans="1:1">
      <c r="A7789" s="22"/>
    </row>
    <row r="7790" spans="1:1">
      <c r="A7790" s="22"/>
    </row>
    <row r="7791" spans="1:1">
      <c r="A7791" s="22"/>
    </row>
    <row r="7792" spans="1:1">
      <c r="A7792" s="22"/>
    </row>
    <row r="7793" spans="1:1">
      <c r="A7793" s="22"/>
    </row>
    <row r="7794" spans="1:1">
      <c r="A7794" s="22"/>
    </row>
    <row r="7795" spans="1:1">
      <c r="A7795" s="22"/>
    </row>
    <row r="7796" spans="1:1">
      <c r="A7796" s="22"/>
    </row>
    <row r="7797" spans="1:1">
      <c r="A7797" s="22"/>
    </row>
    <row r="7798" spans="1:1">
      <c r="A7798" s="22"/>
    </row>
    <row r="7799" spans="1:1">
      <c r="A7799" s="22"/>
    </row>
    <row r="7800" spans="1:1">
      <c r="A7800" s="22"/>
    </row>
    <row r="7801" spans="1:1">
      <c r="A7801" s="22"/>
    </row>
    <row r="7802" spans="1:1">
      <c r="A7802" s="22"/>
    </row>
    <row r="7803" spans="1:1">
      <c r="A7803" s="22"/>
    </row>
    <row r="7804" spans="1:1">
      <c r="A7804" s="22"/>
    </row>
    <row r="7805" spans="1:1">
      <c r="A7805" s="22"/>
    </row>
    <row r="7806" spans="1:1">
      <c r="A7806" s="22"/>
    </row>
    <row r="7807" spans="1:1">
      <c r="A7807" s="22"/>
    </row>
    <row r="7808" spans="1:1">
      <c r="A7808" s="22"/>
    </row>
    <row r="7809" spans="1:1">
      <c r="A7809" s="22"/>
    </row>
    <row r="7810" spans="1:1">
      <c r="A7810" s="22"/>
    </row>
    <row r="7811" spans="1:1">
      <c r="A7811" s="22"/>
    </row>
    <row r="7812" spans="1:1">
      <c r="A7812" s="22"/>
    </row>
    <row r="7813" spans="1:1">
      <c r="A7813" s="22"/>
    </row>
    <row r="7814" spans="1:1">
      <c r="A7814" s="22"/>
    </row>
    <row r="7815" spans="1:1">
      <c r="A7815" s="22"/>
    </row>
    <row r="7816" spans="1:1">
      <c r="A7816" s="22"/>
    </row>
    <row r="7817" spans="1:1">
      <c r="A7817" s="22"/>
    </row>
    <row r="7818" spans="1:1">
      <c r="A7818" s="22"/>
    </row>
    <row r="7819" spans="1:1">
      <c r="A7819" s="22"/>
    </row>
    <row r="7820" spans="1:1">
      <c r="A7820" s="22"/>
    </row>
    <row r="7821" spans="1:1">
      <c r="A7821" s="22"/>
    </row>
    <row r="7822" spans="1:1">
      <c r="A7822" s="22"/>
    </row>
    <row r="7823" spans="1:1">
      <c r="A7823" s="22"/>
    </row>
    <row r="7824" spans="1:1">
      <c r="A7824" s="22"/>
    </row>
    <row r="7825" spans="1:1">
      <c r="A7825" s="22"/>
    </row>
    <row r="7826" spans="1:1">
      <c r="A7826" s="22"/>
    </row>
    <row r="7827" spans="1:1">
      <c r="A7827" s="22"/>
    </row>
    <row r="7828" spans="1:1">
      <c r="A7828" s="22"/>
    </row>
    <row r="7829" spans="1:1">
      <c r="A7829" s="22"/>
    </row>
    <row r="7830" spans="1:1">
      <c r="A7830" s="22"/>
    </row>
    <row r="7831" spans="1:1">
      <c r="A7831" s="22"/>
    </row>
    <row r="7832" spans="1:1">
      <c r="A7832" s="22"/>
    </row>
    <row r="7833" spans="1:1">
      <c r="A7833" s="22"/>
    </row>
    <row r="7834" spans="1:1">
      <c r="A7834" s="22"/>
    </row>
    <row r="7835" spans="1:1">
      <c r="A7835" s="22"/>
    </row>
    <row r="7836" spans="1:1">
      <c r="A7836" s="22"/>
    </row>
    <row r="7837" spans="1:1">
      <c r="A7837" s="22"/>
    </row>
    <row r="7838" spans="1:1">
      <c r="A7838" s="22"/>
    </row>
    <row r="7839" spans="1:1">
      <c r="A7839" s="22"/>
    </row>
    <row r="7840" spans="1:1">
      <c r="A7840" s="22"/>
    </row>
    <row r="7841" spans="1:1">
      <c r="A7841" s="22"/>
    </row>
    <row r="7842" spans="1:1">
      <c r="A7842" s="22"/>
    </row>
    <row r="7843" spans="1:1">
      <c r="A7843" s="22"/>
    </row>
    <row r="7844" spans="1:1">
      <c r="A7844" s="22"/>
    </row>
    <row r="7845" spans="1:1">
      <c r="A7845" s="22"/>
    </row>
    <row r="7846" spans="1:1">
      <c r="A7846" s="22"/>
    </row>
    <row r="7847" spans="1:1">
      <c r="A7847" s="22"/>
    </row>
    <row r="7848" spans="1:1">
      <c r="A7848" s="22"/>
    </row>
    <row r="7849" spans="1:1">
      <c r="A7849" s="22"/>
    </row>
    <row r="7850" spans="1:1">
      <c r="A7850" s="22"/>
    </row>
    <row r="7851" spans="1:1">
      <c r="A7851" s="22"/>
    </row>
    <row r="7852" spans="1:1">
      <c r="A7852" s="22"/>
    </row>
    <row r="7853" spans="1:1">
      <c r="A7853" s="22"/>
    </row>
    <row r="7854" spans="1:1">
      <c r="A7854" s="22"/>
    </row>
    <row r="7855" spans="1:1">
      <c r="A7855" s="22"/>
    </row>
    <row r="7856" spans="1:1">
      <c r="A7856" s="22"/>
    </row>
    <row r="7857" spans="1:1">
      <c r="A7857" s="22"/>
    </row>
    <row r="7858" spans="1:1">
      <c r="A7858" s="22"/>
    </row>
    <row r="7859" spans="1:1">
      <c r="A7859" s="22"/>
    </row>
    <row r="7860" spans="1:1">
      <c r="A7860" s="22"/>
    </row>
    <row r="7861" spans="1:1">
      <c r="A7861" s="22"/>
    </row>
    <row r="7862" spans="1:1">
      <c r="A7862" s="22"/>
    </row>
    <row r="7863" spans="1:1">
      <c r="A7863" s="22"/>
    </row>
    <row r="7864" spans="1:1">
      <c r="A7864" s="22"/>
    </row>
    <row r="7865" spans="1:1">
      <c r="A7865" s="22"/>
    </row>
    <row r="7866" spans="1:1">
      <c r="A7866" s="22"/>
    </row>
    <row r="7867" spans="1:1">
      <c r="A7867" s="22"/>
    </row>
    <row r="7868" spans="1:1">
      <c r="A7868" s="22"/>
    </row>
    <row r="7869" spans="1:1">
      <c r="A7869" s="22"/>
    </row>
    <row r="7870" spans="1:1">
      <c r="A7870" s="22"/>
    </row>
    <row r="7871" spans="1:1">
      <c r="A7871" s="22"/>
    </row>
    <row r="7872" spans="1:1">
      <c r="A7872" s="22"/>
    </row>
    <row r="7873" spans="1:1">
      <c r="A7873" s="22"/>
    </row>
    <row r="7874" spans="1:1">
      <c r="A7874" s="22"/>
    </row>
    <row r="7875" spans="1:1">
      <c r="A7875" s="22"/>
    </row>
    <row r="7876" spans="1:1">
      <c r="A7876" s="22"/>
    </row>
    <row r="7877" spans="1:1">
      <c r="A7877" s="22"/>
    </row>
    <row r="7878" spans="1:1">
      <c r="A7878" s="22"/>
    </row>
    <row r="7879" spans="1:1">
      <c r="A7879" s="22"/>
    </row>
    <row r="7880" spans="1:1">
      <c r="A7880" s="22"/>
    </row>
    <row r="7881" spans="1:1">
      <c r="A7881" s="22"/>
    </row>
    <row r="7882" spans="1:1">
      <c r="A7882" s="22"/>
    </row>
    <row r="7883" spans="1:1">
      <c r="A7883" s="22"/>
    </row>
    <row r="7884" spans="1:1">
      <c r="A7884" s="22"/>
    </row>
    <row r="7885" spans="1:1">
      <c r="A7885" s="22"/>
    </row>
    <row r="7886" spans="1:1">
      <c r="A7886" s="22"/>
    </row>
    <row r="7887" spans="1:1">
      <c r="A7887" s="22"/>
    </row>
    <row r="7888" spans="1:1">
      <c r="A7888" s="22"/>
    </row>
    <row r="7889" spans="1:1">
      <c r="A7889" s="22"/>
    </row>
    <row r="7890" spans="1:1">
      <c r="A7890" s="22"/>
    </row>
    <row r="7891" spans="1:1">
      <c r="A7891" s="22"/>
    </row>
    <row r="7892" spans="1:1">
      <c r="A7892" s="22"/>
    </row>
    <row r="7893" spans="1:1">
      <c r="A7893" s="22"/>
    </row>
    <row r="7894" spans="1:1">
      <c r="A7894" s="22"/>
    </row>
    <row r="7895" spans="1:1">
      <c r="A7895" s="22"/>
    </row>
    <row r="7896" spans="1:1">
      <c r="A7896" s="22"/>
    </row>
    <row r="7897" spans="1:1">
      <c r="A7897" s="22"/>
    </row>
    <row r="7898" spans="1:1">
      <c r="A7898" s="22"/>
    </row>
    <row r="7899" spans="1:1">
      <c r="A7899" s="22"/>
    </row>
    <row r="7900" spans="1:1">
      <c r="A7900" s="22"/>
    </row>
    <row r="7901" spans="1:1">
      <c r="A7901" s="22"/>
    </row>
    <row r="7902" spans="1:1">
      <c r="A7902" s="22"/>
    </row>
    <row r="7903" spans="1:1">
      <c r="A7903" s="22"/>
    </row>
    <row r="7904" spans="1:1">
      <c r="A7904" s="22"/>
    </row>
    <row r="7905" spans="1:1">
      <c r="A7905" s="22"/>
    </row>
    <row r="7906" spans="1:1">
      <c r="A7906" s="22"/>
    </row>
    <row r="7907" spans="1:1">
      <c r="A7907" s="22"/>
    </row>
    <row r="7908" spans="1:1">
      <c r="A7908" s="22"/>
    </row>
    <row r="7909" spans="1:1">
      <c r="A7909" s="22"/>
    </row>
    <row r="7910" spans="1:1">
      <c r="A7910" s="22"/>
    </row>
    <row r="7911" spans="1:1">
      <c r="A7911" s="22"/>
    </row>
    <row r="7912" spans="1:1">
      <c r="A7912" s="22"/>
    </row>
    <row r="7913" spans="1:1">
      <c r="A7913" s="22"/>
    </row>
    <row r="7914" spans="1:1">
      <c r="A7914" s="22"/>
    </row>
    <row r="7915" spans="1:1">
      <c r="A7915" s="22"/>
    </row>
    <row r="7916" spans="1:1">
      <c r="A7916" s="22"/>
    </row>
    <row r="7917" spans="1:1">
      <c r="A7917" s="22"/>
    </row>
    <row r="7918" spans="1:1">
      <c r="A7918" s="22"/>
    </row>
    <row r="7919" spans="1:1">
      <c r="A7919" s="22"/>
    </row>
    <row r="7920" spans="1:1">
      <c r="A7920" s="22"/>
    </row>
    <row r="7921" spans="1:1">
      <c r="A7921" s="22"/>
    </row>
    <row r="7922" spans="1:1">
      <c r="A7922" s="22"/>
    </row>
    <row r="7923" spans="1:1">
      <c r="A7923" s="22"/>
    </row>
    <row r="7924" spans="1:1">
      <c r="A7924" s="22"/>
    </row>
    <row r="7925" spans="1:1">
      <c r="A7925" s="22"/>
    </row>
    <row r="7926" spans="1:1">
      <c r="A7926" s="22"/>
    </row>
    <row r="7927" spans="1:1">
      <c r="A7927" s="22"/>
    </row>
    <row r="7928" spans="1:1">
      <c r="A7928" s="22"/>
    </row>
    <row r="7929" spans="1:1">
      <c r="A7929" s="22"/>
    </row>
    <row r="7930" spans="1:1">
      <c r="A7930" s="22"/>
    </row>
    <row r="7931" spans="1:1">
      <c r="A7931" s="22"/>
    </row>
    <row r="7932" spans="1:1">
      <c r="A7932" s="22"/>
    </row>
    <row r="7933" spans="1:1">
      <c r="A7933" s="22"/>
    </row>
    <row r="7934" spans="1:1">
      <c r="A7934" s="22"/>
    </row>
    <row r="7935" spans="1:1">
      <c r="A7935" s="22"/>
    </row>
    <row r="7936" spans="1:1">
      <c r="A7936" s="22"/>
    </row>
    <row r="7937" spans="1:1">
      <c r="A7937" s="22"/>
    </row>
    <row r="7938" spans="1:1">
      <c r="A7938" s="22"/>
    </row>
    <row r="7939" spans="1:1">
      <c r="A7939" s="22"/>
    </row>
    <row r="7940" spans="1:1">
      <c r="A7940" s="22"/>
    </row>
    <row r="7941" spans="1:1">
      <c r="A7941" s="22"/>
    </row>
    <row r="7942" spans="1:1">
      <c r="A7942" s="22"/>
    </row>
    <row r="7943" spans="1:1">
      <c r="A7943" s="22"/>
    </row>
    <row r="7944" spans="1:1">
      <c r="A7944" s="22"/>
    </row>
    <row r="7945" spans="1:1">
      <c r="A7945" s="22"/>
    </row>
    <row r="7946" spans="1:1">
      <c r="A7946" s="22"/>
    </row>
    <row r="7947" spans="1:1">
      <c r="A7947" s="22"/>
    </row>
    <row r="7948" spans="1:1">
      <c r="A7948" s="22"/>
    </row>
    <row r="7949" spans="1:1">
      <c r="A7949" s="22"/>
    </row>
    <row r="7950" spans="1:1">
      <c r="A7950" s="22"/>
    </row>
    <row r="7951" spans="1:1">
      <c r="A7951" s="22"/>
    </row>
    <row r="7952" spans="1:1">
      <c r="A7952" s="22"/>
    </row>
    <row r="7953" spans="1:1">
      <c r="A7953" s="22"/>
    </row>
    <row r="7954" spans="1:1">
      <c r="A7954" s="22"/>
    </row>
    <row r="7955" spans="1:1">
      <c r="A7955" s="22"/>
    </row>
    <row r="7956" spans="1:1">
      <c r="A7956" s="22"/>
    </row>
    <row r="7957" spans="1:1">
      <c r="A7957" s="22"/>
    </row>
    <row r="7958" spans="1:1">
      <c r="A7958" s="22"/>
    </row>
    <row r="7959" spans="1:1">
      <c r="A7959" s="22"/>
    </row>
    <row r="7960" spans="1:1">
      <c r="A7960" s="22"/>
    </row>
    <row r="7961" spans="1:1">
      <c r="A7961" s="22"/>
    </row>
    <row r="7962" spans="1:1">
      <c r="A7962" s="22"/>
    </row>
    <row r="7963" spans="1:1">
      <c r="A7963" s="22"/>
    </row>
    <row r="7964" spans="1:1">
      <c r="A7964" s="22"/>
    </row>
    <row r="7965" spans="1:1">
      <c r="A7965" s="22"/>
    </row>
    <row r="7966" spans="1:1">
      <c r="A7966" s="22"/>
    </row>
    <row r="7967" spans="1:1">
      <c r="A7967" s="22"/>
    </row>
    <row r="7968" spans="1:1">
      <c r="A7968" s="22"/>
    </row>
    <row r="7969" spans="1:1">
      <c r="A7969" s="22"/>
    </row>
    <row r="7970" spans="1:1">
      <c r="A7970" s="22"/>
    </row>
    <row r="7971" spans="1:1">
      <c r="A7971" s="22"/>
    </row>
    <row r="7972" spans="1:1">
      <c r="A7972" s="22"/>
    </row>
    <row r="7973" spans="1:1">
      <c r="A7973" s="22"/>
    </row>
    <row r="7974" spans="1:1">
      <c r="A7974" s="22"/>
    </row>
    <row r="7975" spans="1:1">
      <c r="A7975" s="22"/>
    </row>
    <row r="7976" spans="1:1">
      <c r="A7976" s="22"/>
    </row>
    <row r="7977" spans="1:1">
      <c r="A7977" s="22"/>
    </row>
    <row r="7978" spans="1:1">
      <c r="A7978" s="22"/>
    </row>
    <row r="7979" spans="1:1">
      <c r="A7979" s="22"/>
    </row>
    <row r="7980" spans="1:1">
      <c r="A7980" s="22"/>
    </row>
    <row r="7981" spans="1:1">
      <c r="A7981" s="22"/>
    </row>
    <row r="7982" spans="1:1">
      <c r="A7982" s="22"/>
    </row>
    <row r="7983" spans="1:1">
      <c r="A7983" s="22"/>
    </row>
    <row r="7984" spans="1:1">
      <c r="A7984" s="22"/>
    </row>
    <row r="7985" spans="1:1">
      <c r="A7985" s="22"/>
    </row>
    <row r="7986" spans="1:1">
      <c r="A7986" s="22"/>
    </row>
    <row r="7987" spans="1:1">
      <c r="A7987" s="22"/>
    </row>
    <row r="7988" spans="1:1">
      <c r="A7988" s="22"/>
    </row>
    <row r="7989" spans="1:1">
      <c r="A7989" s="22"/>
    </row>
    <row r="7990" spans="1:1">
      <c r="A7990" s="22"/>
    </row>
    <row r="7991" spans="1:1">
      <c r="A7991" s="22"/>
    </row>
    <row r="7992" spans="1:1">
      <c r="A7992" s="22"/>
    </row>
    <row r="7993" spans="1:1">
      <c r="A7993" s="22"/>
    </row>
    <row r="7994" spans="1:1">
      <c r="A7994" s="22"/>
    </row>
    <row r="7995" spans="1:1">
      <c r="A7995" s="22"/>
    </row>
    <row r="7996" spans="1:1">
      <c r="A7996" s="22"/>
    </row>
    <row r="7997" spans="1:1">
      <c r="A7997" s="22"/>
    </row>
    <row r="7998" spans="1:1">
      <c r="A7998" s="22"/>
    </row>
    <row r="7999" spans="1:1">
      <c r="A7999" s="22"/>
    </row>
    <row r="8000" spans="1:1">
      <c r="A8000" s="22"/>
    </row>
    <row r="8001" spans="1:1">
      <c r="A8001" s="22"/>
    </row>
    <row r="8002" spans="1:1">
      <c r="A8002" s="22"/>
    </row>
    <row r="8003" spans="1:1">
      <c r="A8003" s="22"/>
    </row>
    <row r="8004" spans="1:1">
      <c r="A8004" s="22"/>
    </row>
    <row r="8005" spans="1:1">
      <c r="A8005" s="22"/>
    </row>
    <row r="8006" spans="1:1">
      <c r="A8006" s="22"/>
    </row>
    <row r="8007" spans="1:1">
      <c r="A8007" s="22"/>
    </row>
    <row r="8008" spans="1:1">
      <c r="A8008" s="22"/>
    </row>
    <row r="8009" spans="1:1">
      <c r="A8009" s="22"/>
    </row>
    <row r="8010" spans="1:1">
      <c r="A8010" s="22"/>
    </row>
    <row r="8011" spans="1:1">
      <c r="A8011" s="22"/>
    </row>
    <row r="8012" spans="1:1">
      <c r="A8012" s="22"/>
    </row>
    <row r="8013" spans="1:1">
      <c r="A8013" s="22"/>
    </row>
    <row r="8014" spans="1:1">
      <c r="A8014" s="22"/>
    </row>
    <row r="8015" spans="1:1">
      <c r="A8015" s="22"/>
    </row>
    <row r="8016" spans="1:1">
      <c r="A8016" s="22"/>
    </row>
    <row r="8017" spans="1:1">
      <c r="A8017" s="22"/>
    </row>
    <row r="8018" spans="1:1">
      <c r="A8018" s="22"/>
    </row>
    <row r="8019" spans="1:1">
      <c r="A8019" s="22"/>
    </row>
    <row r="8020" spans="1:1">
      <c r="A8020" s="22"/>
    </row>
    <row r="8021" spans="1:1">
      <c r="A8021" s="22"/>
    </row>
    <row r="8022" spans="1:1">
      <c r="A8022" s="22"/>
    </row>
    <row r="8023" spans="1:1">
      <c r="A8023" s="22"/>
    </row>
    <row r="8024" spans="1:1">
      <c r="A8024" s="22"/>
    </row>
    <row r="8025" spans="1:1">
      <c r="A8025" s="22"/>
    </row>
    <row r="8026" spans="1:1">
      <c r="A8026" s="22"/>
    </row>
    <row r="8027" spans="1:1">
      <c r="A8027" s="22"/>
    </row>
    <row r="8028" spans="1:1">
      <c r="A8028" s="22"/>
    </row>
    <row r="8029" spans="1:1">
      <c r="A8029" s="22"/>
    </row>
    <row r="8030" spans="1:1">
      <c r="A8030" s="22"/>
    </row>
    <row r="8031" spans="1:1">
      <c r="A8031" s="22"/>
    </row>
    <row r="8032" spans="1:1">
      <c r="A8032" s="22"/>
    </row>
    <row r="8033" spans="1:1">
      <c r="A8033" s="22"/>
    </row>
    <row r="8034" spans="1:1">
      <c r="A8034" s="22"/>
    </row>
    <row r="8035" spans="1:1">
      <c r="A8035" s="22"/>
    </row>
    <row r="8036" spans="1:1">
      <c r="A8036" s="22"/>
    </row>
    <row r="8037" spans="1:1">
      <c r="A8037" s="22"/>
    </row>
    <row r="8038" spans="1:1">
      <c r="A8038" s="22"/>
    </row>
    <row r="8039" spans="1:1">
      <c r="A8039" s="22"/>
    </row>
    <row r="8040" spans="1:1">
      <c r="A8040" s="22"/>
    </row>
    <row r="8041" spans="1:1">
      <c r="A8041" s="22"/>
    </row>
    <row r="8042" spans="1:1">
      <c r="A8042" s="22"/>
    </row>
    <row r="8043" spans="1:1">
      <c r="A8043" s="22"/>
    </row>
    <row r="8044" spans="1:1">
      <c r="A8044" s="22"/>
    </row>
    <row r="8045" spans="1:1">
      <c r="A8045" s="22"/>
    </row>
    <row r="8046" spans="1:1">
      <c r="A8046" s="22"/>
    </row>
    <row r="8047" spans="1:1">
      <c r="A8047" s="22"/>
    </row>
    <row r="8048" spans="1:1">
      <c r="A8048" s="22"/>
    </row>
    <row r="8049" spans="1:1">
      <c r="A8049" s="22"/>
    </row>
    <row r="8050" spans="1:1">
      <c r="A8050" s="22"/>
    </row>
    <row r="8051" spans="1:1">
      <c r="A8051" s="22"/>
    </row>
    <row r="8052" spans="1:1">
      <c r="A8052" s="22"/>
    </row>
    <row r="8053" spans="1:1">
      <c r="A8053" s="22"/>
    </row>
    <row r="8054" spans="1:1">
      <c r="A8054" s="22"/>
    </row>
    <row r="8055" spans="1:1">
      <c r="A8055" s="22"/>
    </row>
    <row r="8056" spans="1:1">
      <c r="A8056" s="22"/>
    </row>
    <row r="8057" spans="1:1">
      <c r="A8057" s="22"/>
    </row>
    <row r="8058" spans="1:1">
      <c r="A8058" s="22"/>
    </row>
    <row r="8059" spans="1:1">
      <c r="A8059" s="22"/>
    </row>
    <row r="8060" spans="1:1">
      <c r="A8060" s="22"/>
    </row>
    <row r="8061" spans="1:1">
      <c r="A8061" s="22"/>
    </row>
    <row r="8062" spans="1:1">
      <c r="A8062" s="22"/>
    </row>
    <row r="8063" spans="1:1">
      <c r="A8063" s="22"/>
    </row>
    <row r="8064" spans="1:1">
      <c r="A8064" s="22"/>
    </row>
    <row r="8065" spans="1:1">
      <c r="A8065" s="22"/>
    </row>
    <row r="8066" spans="1:1">
      <c r="A8066" s="22"/>
    </row>
    <row r="8067" spans="1:1">
      <c r="A8067" s="22"/>
    </row>
    <row r="8068" spans="1:1">
      <c r="A8068" s="22"/>
    </row>
    <row r="8069" spans="1:1">
      <c r="A8069" s="22"/>
    </row>
    <row r="8070" spans="1:1">
      <c r="A8070" s="22"/>
    </row>
    <row r="8071" spans="1:1">
      <c r="A8071" s="22"/>
    </row>
    <row r="8072" spans="1:1">
      <c r="A8072" s="22"/>
    </row>
    <row r="8073" spans="1:1">
      <c r="A8073" s="22"/>
    </row>
    <row r="8074" spans="1:1">
      <c r="A8074" s="22"/>
    </row>
    <row r="8075" spans="1:1">
      <c r="A8075" s="22"/>
    </row>
    <row r="8076" spans="1:1">
      <c r="A8076" s="22"/>
    </row>
    <row r="8077" spans="1:1">
      <c r="A8077" s="22"/>
    </row>
    <row r="8078" spans="1:1">
      <c r="A8078" s="22"/>
    </row>
    <row r="8079" spans="1:1">
      <c r="A8079" s="22"/>
    </row>
    <row r="8080" spans="1:1">
      <c r="A8080" s="22"/>
    </row>
    <row r="8081" spans="1:1">
      <c r="A8081" s="22"/>
    </row>
    <row r="8082" spans="1:1">
      <c r="A8082" s="22"/>
    </row>
    <row r="8083" spans="1:1">
      <c r="A8083" s="22"/>
    </row>
    <row r="8084" spans="1:1">
      <c r="A8084" s="22"/>
    </row>
    <row r="8085" spans="1:1">
      <c r="A8085" s="22"/>
    </row>
    <row r="8086" spans="1:1">
      <c r="A8086" s="22"/>
    </row>
    <row r="8087" spans="1:1">
      <c r="A8087" s="22"/>
    </row>
    <row r="8088" spans="1:1">
      <c r="A8088" s="22"/>
    </row>
    <row r="8089" spans="1:1">
      <c r="A8089" s="22"/>
    </row>
    <row r="8090" spans="1:1">
      <c r="A8090" s="22"/>
    </row>
    <row r="8091" spans="1:1">
      <c r="A8091" s="22"/>
    </row>
    <row r="8092" spans="1:1">
      <c r="A8092" s="22"/>
    </row>
    <row r="8093" spans="1:1">
      <c r="A8093" s="22"/>
    </row>
    <row r="8094" spans="1:1">
      <c r="A8094" s="22"/>
    </row>
    <row r="8095" spans="1:1">
      <c r="A8095" s="22"/>
    </row>
    <row r="8096" spans="1:1">
      <c r="A8096" s="22"/>
    </row>
    <row r="8097" spans="1:1">
      <c r="A8097" s="22"/>
    </row>
    <row r="8098" spans="1:1">
      <c r="A8098" s="22"/>
    </row>
    <row r="8099" spans="1:1">
      <c r="A8099" s="22"/>
    </row>
    <row r="8100" spans="1:1">
      <c r="A8100" s="22"/>
    </row>
    <row r="8101" spans="1:1">
      <c r="A8101" s="22"/>
    </row>
    <row r="8102" spans="1:1">
      <c r="A8102" s="22"/>
    </row>
    <row r="8103" spans="1:1">
      <c r="A8103" s="22"/>
    </row>
    <row r="8104" spans="1:1">
      <c r="A8104" s="22"/>
    </row>
    <row r="8105" spans="1:1">
      <c r="A8105" s="22"/>
    </row>
    <row r="8106" spans="1:1">
      <c r="A8106" s="22"/>
    </row>
    <row r="8107" spans="1:1">
      <c r="A8107" s="22"/>
    </row>
    <row r="8108" spans="1:1">
      <c r="A8108" s="22"/>
    </row>
    <row r="8109" spans="1:1">
      <c r="A8109" s="22"/>
    </row>
    <row r="8110" spans="1:1">
      <c r="A8110" s="22"/>
    </row>
    <row r="8111" spans="1:1">
      <c r="A8111" s="22"/>
    </row>
    <row r="8112" spans="1:1">
      <c r="A8112" s="22"/>
    </row>
    <row r="8113" spans="1:1">
      <c r="A8113" s="22"/>
    </row>
    <row r="8114" spans="1:1">
      <c r="A8114" s="22"/>
    </row>
    <row r="8115" spans="1:1">
      <c r="A8115" s="22"/>
    </row>
    <row r="8116" spans="1:1">
      <c r="A8116" s="22"/>
    </row>
    <row r="8117" spans="1:1">
      <c r="A8117" s="22"/>
    </row>
    <row r="8118" spans="1:1">
      <c r="A8118" s="22"/>
    </row>
    <row r="8119" spans="1:1">
      <c r="A8119" s="22"/>
    </row>
    <row r="8120" spans="1:1">
      <c r="A8120" s="22"/>
    </row>
    <row r="8121" spans="1:1">
      <c r="A8121" s="22"/>
    </row>
    <row r="8122" spans="1:1">
      <c r="A8122" s="22"/>
    </row>
    <row r="8123" spans="1:1">
      <c r="A8123" s="22"/>
    </row>
    <row r="8124" spans="1:1">
      <c r="A8124" s="22"/>
    </row>
    <row r="8125" spans="1:1">
      <c r="A8125" s="22"/>
    </row>
    <row r="8126" spans="1:1">
      <c r="A8126" s="22"/>
    </row>
    <row r="8127" spans="1:1">
      <c r="A8127" s="22"/>
    </row>
    <row r="8128" spans="1:1">
      <c r="A8128" s="22"/>
    </row>
    <row r="8129" spans="1:1">
      <c r="A8129" s="22"/>
    </row>
    <row r="8130" spans="1:1">
      <c r="A8130" s="22"/>
    </row>
    <row r="8131" spans="1:1">
      <c r="A8131" s="22"/>
    </row>
    <row r="8132" spans="1:1">
      <c r="A8132" s="22"/>
    </row>
    <row r="8133" spans="1:1">
      <c r="A8133" s="22"/>
    </row>
    <row r="8134" spans="1:1">
      <c r="A8134" s="22"/>
    </row>
    <row r="8135" spans="1:1">
      <c r="A8135" s="22"/>
    </row>
    <row r="8136" spans="1:1">
      <c r="A8136" s="22"/>
    </row>
    <row r="8137" spans="1:1">
      <c r="A8137" s="22"/>
    </row>
    <row r="8138" spans="1:1">
      <c r="A8138" s="22"/>
    </row>
    <row r="8139" spans="1:1">
      <c r="A8139" s="22"/>
    </row>
    <row r="8140" spans="1:1">
      <c r="A8140" s="22"/>
    </row>
    <row r="8141" spans="1:1">
      <c r="A8141" s="22"/>
    </row>
    <row r="8142" spans="1:1">
      <c r="A8142" s="22"/>
    </row>
    <row r="8143" spans="1:1">
      <c r="A8143" s="22"/>
    </row>
    <row r="8144" spans="1:1">
      <c r="A8144" s="22"/>
    </row>
    <row r="8145" spans="1:1">
      <c r="A8145" s="22"/>
    </row>
    <row r="8146" spans="1:1">
      <c r="A8146" s="22"/>
    </row>
    <row r="8147" spans="1:1">
      <c r="A8147" s="22"/>
    </row>
    <row r="8148" spans="1:1">
      <c r="A8148" s="22"/>
    </row>
    <row r="8149" spans="1:1">
      <c r="A8149" s="22"/>
    </row>
    <row r="8150" spans="1:1">
      <c r="A8150" s="22"/>
    </row>
    <row r="8151" spans="1:1">
      <c r="A8151" s="22"/>
    </row>
    <row r="8152" spans="1:1">
      <c r="A8152" s="22"/>
    </row>
    <row r="8153" spans="1:1">
      <c r="A8153" s="22"/>
    </row>
    <row r="8154" spans="1:1">
      <c r="A8154" s="22"/>
    </row>
    <row r="8155" spans="1:1">
      <c r="A8155" s="22"/>
    </row>
    <row r="8156" spans="1:1">
      <c r="A8156" s="22"/>
    </row>
    <row r="8157" spans="1:1">
      <c r="A8157" s="22"/>
    </row>
    <row r="8158" spans="1:1">
      <c r="A8158" s="22"/>
    </row>
    <row r="8159" spans="1:1">
      <c r="A8159" s="22"/>
    </row>
    <row r="8160" spans="1:1">
      <c r="A8160" s="22"/>
    </row>
    <row r="8161" spans="1:1">
      <c r="A8161" s="22"/>
    </row>
    <row r="8162" spans="1:1">
      <c r="A8162" s="22"/>
    </row>
    <row r="8163" spans="1:1">
      <c r="A8163" s="22"/>
    </row>
    <row r="8164" spans="1:1">
      <c r="A8164" s="22"/>
    </row>
    <row r="8165" spans="1:1">
      <c r="A8165" s="22"/>
    </row>
    <row r="8166" spans="1:1">
      <c r="A8166" s="22"/>
    </row>
    <row r="8167" spans="1:1">
      <c r="A8167" s="22"/>
    </row>
    <row r="8168" spans="1:1">
      <c r="A8168" s="22"/>
    </row>
    <row r="8169" spans="1:1">
      <c r="A8169" s="22"/>
    </row>
    <row r="8170" spans="1:1">
      <c r="A8170" s="22"/>
    </row>
    <row r="8171" spans="1:1">
      <c r="A8171" s="22"/>
    </row>
    <row r="8172" spans="1:1">
      <c r="A8172" s="22"/>
    </row>
    <row r="8173" spans="1:1">
      <c r="A8173" s="22"/>
    </row>
    <row r="8174" spans="1:1">
      <c r="A8174" s="22"/>
    </row>
    <row r="8175" spans="1:1">
      <c r="A8175" s="22"/>
    </row>
    <row r="8176" spans="1:1">
      <c r="A8176" s="22"/>
    </row>
    <row r="8177" spans="1:1">
      <c r="A8177" s="22"/>
    </row>
    <row r="8178" spans="1:1">
      <c r="A8178" s="22"/>
    </row>
    <row r="8179" spans="1:1">
      <c r="A8179" s="22"/>
    </row>
    <row r="8180" spans="1:1">
      <c r="A8180" s="22"/>
    </row>
    <row r="8181" spans="1:1">
      <c r="A8181" s="22"/>
    </row>
    <row r="8182" spans="1:1">
      <c r="A8182" s="22"/>
    </row>
    <row r="8183" spans="1:1">
      <c r="A8183" s="22"/>
    </row>
    <row r="8184" spans="1:1">
      <c r="A8184" s="22"/>
    </row>
    <row r="8185" spans="1:1">
      <c r="A8185" s="22"/>
    </row>
    <row r="8186" spans="1:1">
      <c r="A8186" s="22"/>
    </row>
    <row r="8187" spans="1:1">
      <c r="A8187" s="22"/>
    </row>
    <row r="8188" spans="1:1">
      <c r="A8188" s="22"/>
    </row>
    <row r="8189" spans="1:1">
      <c r="A8189" s="22"/>
    </row>
    <row r="8190" spans="1:1">
      <c r="A8190" s="22"/>
    </row>
    <row r="8191" spans="1:1">
      <c r="A8191" s="22"/>
    </row>
    <row r="8192" spans="1:1">
      <c r="A8192" s="22"/>
    </row>
    <row r="8193" spans="1:1">
      <c r="A8193" s="22"/>
    </row>
    <row r="8194" spans="1:1">
      <c r="A8194" s="22"/>
    </row>
    <row r="8195" spans="1:1">
      <c r="A8195" s="22"/>
    </row>
    <row r="8196" spans="1:1">
      <c r="A8196" s="22"/>
    </row>
    <row r="8197" spans="1:1">
      <c r="A8197" s="22"/>
    </row>
    <row r="8198" spans="1:1">
      <c r="A8198" s="22"/>
    </row>
    <row r="8199" spans="1:1">
      <c r="A8199" s="22"/>
    </row>
    <row r="8200" spans="1:1">
      <c r="A8200" s="22"/>
    </row>
    <row r="8201" spans="1:1">
      <c r="A8201" s="22"/>
    </row>
    <row r="8202" spans="1:1">
      <c r="A8202" s="22"/>
    </row>
    <row r="8203" spans="1:1">
      <c r="A8203" s="22"/>
    </row>
    <row r="8204" spans="1:1">
      <c r="A8204" s="22"/>
    </row>
    <row r="8205" spans="1:1">
      <c r="A8205" s="22"/>
    </row>
    <row r="8206" spans="1:1">
      <c r="A8206" s="22"/>
    </row>
    <row r="8207" spans="1:1">
      <c r="A8207" s="22"/>
    </row>
    <row r="8208" spans="1:1">
      <c r="A8208" s="22"/>
    </row>
    <row r="8209" spans="1:1">
      <c r="A8209" s="22"/>
    </row>
    <row r="8210" spans="1:1">
      <c r="A8210" s="22"/>
    </row>
    <row r="8211" spans="1:1">
      <c r="A8211" s="22"/>
    </row>
    <row r="8212" spans="1:1">
      <c r="A8212" s="22"/>
    </row>
    <row r="8213" spans="1:1">
      <c r="A8213" s="22"/>
    </row>
    <row r="8214" spans="1:1">
      <c r="A8214" s="22"/>
    </row>
    <row r="8215" spans="1:1">
      <c r="A8215" s="22"/>
    </row>
    <row r="8216" spans="1:1">
      <c r="A8216" s="22"/>
    </row>
    <row r="8217" spans="1:1">
      <c r="A8217" s="22"/>
    </row>
    <row r="8218" spans="1:1">
      <c r="A8218" s="22"/>
    </row>
    <row r="8219" spans="1:1">
      <c r="A8219" s="22"/>
    </row>
    <row r="8220" spans="1:1">
      <c r="A8220" s="22"/>
    </row>
    <row r="8221" spans="1:1">
      <c r="A8221" s="22"/>
    </row>
    <row r="8222" spans="1:1">
      <c r="A8222" s="22"/>
    </row>
    <row r="8223" spans="1:1">
      <c r="A8223" s="22"/>
    </row>
    <row r="8224" spans="1:1">
      <c r="A8224" s="22"/>
    </row>
    <row r="8225" spans="1:1">
      <c r="A8225" s="22"/>
    </row>
    <row r="8226" spans="1:1">
      <c r="A8226" s="22"/>
    </row>
    <row r="8227" spans="1:1">
      <c r="A8227" s="22"/>
    </row>
    <row r="8228" spans="1:1">
      <c r="A8228" s="22"/>
    </row>
    <row r="8229" spans="1:1">
      <c r="A8229" s="22"/>
    </row>
    <row r="8230" spans="1:1">
      <c r="A8230" s="22"/>
    </row>
    <row r="8231" spans="1:1">
      <c r="A8231" s="22"/>
    </row>
    <row r="8232" spans="1:1">
      <c r="A8232" s="22"/>
    </row>
    <row r="8233" spans="1:1">
      <c r="A8233" s="22"/>
    </row>
    <row r="8234" spans="1:1">
      <c r="A8234" s="22"/>
    </row>
    <row r="8235" spans="1:1">
      <c r="A8235" s="22"/>
    </row>
    <row r="8236" spans="1:1">
      <c r="A8236" s="22"/>
    </row>
    <row r="8237" spans="1:1">
      <c r="A8237" s="22"/>
    </row>
    <row r="8238" spans="1:1">
      <c r="A8238" s="22"/>
    </row>
    <row r="8239" spans="1:1">
      <c r="A8239" s="22"/>
    </row>
    <row r="8240" spans="1:1">
      <c r="A8240" s="22"/>
    </row>
    <row r="8241" spans="1:1">
      <c r="A8241" s="22"/>
    </row>
    <row r="8242" spans="1:1">
      <c r="A8242" s="22"/>
    </row>
    <row r="8243" spans="1:1">
      <c r="A8243" s="22"/>
    </row>
    <row r="8244" spans="1:1">
      <c r="A8244" s="22"/>
    </row>
    <row r="8245" spans="1:1">
      <c r="A8245" s="22"/>
    </row>
    <row r="8246" spans="1:1">
      <c r="A8246" s="22"/>
    </row>
    <row r="8247" spans="1:1">
      <c r="A8247" s="22"/>
    </row>
    <row r="8248" spans="1:1">
      <c r="A8248" s="22"/>
    </row>
    <row r="8249" spans="1:1">
      <c r="A8249" s="22"/>
    </row>
    <row r="8250" spans="1:1">
      <c r="A8250" s="22"/>
    </row>
    <row r="8251" spans="1:1">
      <c r="A8251" s="22"/>
    </row>
    <row r="8252" spans="1:1">
      <c r="A8252" s="22"/>
    </row>
    <row r="8253" spans="1:1">
      <c r="A8253" s="22"/>
    </row>
    <row r="8254" spans="1:1">
      <c r="A8254" s="22"/>
    </row>
    <row r="8255" spans="1:1">
      <c r="A8255" s="22"/>
    </row>
    <row r="8256" spans="1:1">
      <c r="A8256" s="22"/>
    </row>
    <row r="8257" spans="1:1">
      <c r="A8257" s="22"/>
    </row>
    <row r="8258" spans="1:1">
      <c r="A8258" s="22"/>
    </row>
    <row r="8259" spans="1:1">
      <c r="A8259" s="22"/>
    </row>
    <row r="8260" spans="1:1">
      <c r="A8260" s="22"/>
    </row>
    <row r="8261" spans="1:1">
      <c r="A8261" s="22"/>
    </row>
    <row r="8262" spans="1:1">
      <c r="A8262" s="22"/>
    </row>
    <row r="8263" spans="1:1">
      <c r="A8263" s="22"/>
    </row>
    <row r="8264" spans="1:1">
      <c r="A8264" s="22"/>
    </row>
    <row r="8265" spans="1:1">
      <c r="A8265" s="22"/>
    </row>
    <row r="8266" spans="1:1">
      <c r="A8266" s="22"/>
    </row>
    <row r="8267" spans="1:1">
      <c r="A8267" s="22"/>
    </row>
    <row r="8268" spans="1:1">
      <c r="A8268" s="22"/>
    </row>
    <row r="8269" spans="1:1">
      <c r="A8269" s="22"/>
    </row>
    <row r="8270" spans="1:1">
      <c r="A8270" s="22"/>
    </row>
    <row r="8271" spans="1:1">
      <c r="A8271" s="22"/>
    </row>
    <row r="8272" spans="1:1">
      <c r="A8272" s="22"/>
    </row>
    <row r="8273" spans="1:1">
      <c r="A8273" s="22"/>
    </row>
    <row r="8274" spans="1:1">
      <c r="A8274" s="22"/>
    </row>
    <row r="8275" spans="1:1">
      <c r="A8275" s="22"/>
    </row>
    <row r="8276" spans="1:1">
      <c r="A8276" s="22"/>
    </row>
    <row r="8277" spans="1:1">
      <c r="A8277" s="22"/>
    </row>
    <row r="8278" spans="1:1">
      <c r="A8278" s="22"/>
    </row>
    <row r="8279" spans="1:1">
      <c r="A8279" s="22"/>
    </row>
    <row r="8280" spans="1:1">
      <c r="A8280" s="22"/>
    </row>
    <row r="8281" spans="1:1">
      <c r="A8281" s="22"/>
    </row>
    <row r="8282" spans="1:1">
      <c r="A8282" s="22"/>
    </row>
    <row r="8283" spans="1:1">
      <c r="A8283" s="22"/>
    </row>
    <row r="8284" spans="1:1">
      <c r="A8284" s="22"/>
    </row>
    <row r="8285" spans="1:1">
      <c r="A8285" s="22"/>
    </row>
    <row r="8286" spans="1:1">
      <c r="A8286" s="22"/>
    </row>
    <row r="8287" spans="1:1">
      <c r="A8287" s="22"/>
    </row>
    <row r="8288" spans="1:1">
      <c r="A8288" s="22"/>
    </row>
    <row r="8289" spans="1:1">
      <c r="A8289" s="22"/>
    </row>
    <row r="8290" spans="1:1">
      <c r="A8290" s="22"/>
    </row>
    <row r="8291" spans="1:1">
      <c r="A8291" s="22"/>
    </row>
    <row r="8292" spans="1:1">
      <c r="A8292" s="22"/>
    </row>
    <row r="8293" spans="1:1">
      <c r="A8293" s="22"/>
    </row>
    <row r="8294" spans="1:1">
      <c r="A8294" s="22"/>
    </row>
    <row r="8295" spans="1:1">
      <c r="A8295" s="22"/>
    </row>
    <row r="8296" spans="1:1">
      <c r="A8296" s="22"/>
    </row>
    <row r="8297" spans="1:1">
      <c r="A8297" s="22"/>
    </row>
    <row r="8298" spans="1:1">
      <c r="A8298" s="22"/>
    </row>
    <row r="8299" spans="1:1">
      <c r="A8299" s="22"/>
    </row>
    <row r="8300" spans="1:1">
      <c r="A8300" s="22"/>
    </row>
    <row r="8301" spans="1:1">
      <c r="A8301" s="22"/>
    </row>
    <row r="8302" spans="1:1">
      <c r="A8302" s="22"/>
    </row>
    <row r="8303" spans="1:1">
      <c r="A8303" s="22"/>
    </row>
    <row r="8304" spans="1:1">
      <c r="A8304" s="22"/>
    </row>
    <row r="8305" spans="1:1">
      <c r="A8305" s="22"/>
    </row>
    <row r="8306" spans="1:1">
      <c r="A8306" s="22"/>
    </row>
    <row r="8307" spans="1:1">
      <c r="A8307" s="22"/>
    </row>
    <row r="8308" spans="1:1">
      <c r="A8308" s="22"/>
    </row>
    <row r="8309" spans="1:1">
      <c r="A8309" s="22"/>
    </row>
    <row r="8310" spans="1:1">
      <c r="A8310" s="22"/>
    </row>
    <row r="8311" spans="1:1">
      <c r="A8311" s="22"/>
    </row>
    <row r="8312" spans="1:1">
      <c r="A8312" s="22"/>
    </row>
    <row r="8313" spans="1:1">
      <c r="A8313" s="22"/>
    </row>
    <row r="8314" spans="1:1">
      <c r="A8314" s="22"/>
    </row>
    <row r="8315" spans="1:1">
      <c r="A8315" s="22"/>
    </row>
    <row r="8316" spans="1:1">
      <c r="A8316" s="22"/>
    </row>
    <row r="8317" spans="1:1">
      <c r="A8317" s="22"/>
    </row>
    <row r="8318" spans="1:1">
      <c r="A8318" s="22"/>
    </row>
    <row r="8319" spans="1:1">
      <c r="A8319" s="22"/>
    </row>
    <row r="8320" spans="1:1">
      <c r="A8320" s="22"/>
    </row>
    <row r="8321" spans="1:1">
      <c r="A8321" s="22"/>
    </row>
    <row r="8322" spans="1:1">
      <c r="A8322" s="22"/>
    </row>
    <row r="8323" spans="1:1">
      <c r="A8323" s="22"/>
    </row>
    <row r="8324" spans="1:1">
      <c r="A8324" s="22"/>
    </row>
    <row r="8325" spans="1:1">
      <c r="A8325" s="22"/>
    </row>
    <row r="8326" spans="1:1">
      <c r="A8326" s="22"/>
    </row>
    <row r="8327" spans="1:1">
      <c r="A8327" s="22"/>
    </row>
    <row r="8328" spans="1:1">
      <c r="A8328" s="22"/>
    </row>
    <row r="8329" spans="1:1">
      <c r="A8329" s="22"/>
    </row>
    <row r="8330" spans="1:1">
      <c r="A8330" s="22"/>
    </row>
    <row r="8331" spans="1:1">
      <c r="A8331" s="22"/>
    </row>
    <row r="8332" spans="1:1">
      <c r="A8332" s="22"/>
    </row>
    <row r="8333" spans="1:1">
      <c r="A8333" s="22"/>
    </row>
    <row r="8334" spans="1:1">
      <c r="A8334" s="22"/>
    </row>
    <row r="8335" spans="1:1">
      <c r="A8335" s="22"/>
    </row>
    <row r="8336" spans="1:1">
      <c r="A8336" s="22"/>
    </row>
    <row r="8337" spans="1:1">
      <c r="A8337" s="22"/>
    </row>
    <row r="8338" spans="1:1">
      <c r="A8338" s="22"/>
    </row>
    <row r="8339" spans="1:1">
      <c r="A8339" s="22"/>
    </row>
    <row r="8340" spans="1:1">
      <c r="A8340" s="22"/>
    </row>
    <row r="8341" spans="1:1">
      <c r="A8341" s="22"/>
    </row>
    <row r="8342" spans="1:1">
      <c r="A8342" s="22"/>
    </row>
    <row r="8343" spans="1:1">
      <c r="A8343" s="22"/>
    </row>
    <row r="8344" spans="1:1">
      <c r="A8344" s="22"/>
    </row>
    <row r="8345" spans="1:1">
      <c r="A8345" s="22"/>
    </row>
    <row r="8346" spans="1:1">
      <c r="A8346" s="22"/>
    </row>
    <row r="8347" spans="1:1">
      <c r="A8347" s="22"/>
    </row>
    <row r="8348" spans="1:1">
      <c r="A8348" s="22"/>
    </row>
    <row r="8349" spans="1:1">
      <c r="A8349" s="22"/>
    </row>
    <row r="8350" spans="1:1">
      <c r="A8350" s="22"/>
    </row>
    <row r="8351" spans="1:1">
      <c r="A8351" s="22"/>
    </row>
    <row r="8352" spans="1:1">
      <c r="A8352" s="22"/>
    </row>
    <row r="8353" spans="1:1">
      <c r="A8353" s="22"/>
    </row>
    <row r="8354" spans="1:1">
      <c r="A8354" s="22"/>
    </row>
    <row r="8355" spans="1:1">
      <c r="A8355" s="22"/>
    </row>
    <row r="8356" spans="1:1">
      <c r="A8356" s="22"/>
    </row>
    <row r="8357" spans="1:1">
      <c r="A8357" s="22"/>
    </row>
    <row r="8358" spans="1:1">
      <c r="A8358" s="22"/>
    </row>
    <row r="8359" spans="1:1">
      <c r="A8359" s="22"/>
    </row>
    <row r="8360" spans="1:1">
      <c r="A8360" s="22"/>
    </row>
    <row r="8361" spans="1:1">
      <c r="A8361" s="22"/>
    </row>
    <row r="8362" spans="1:1">
      <c r="A8362" s="22"/>
    </row>
    <row r="8363" spans="1:1">
      <c r="A8363" s="22"/>
    </row>
    <row r="8364" spans="1:1">
      <c r="A8364" s="22"/>
    </row>
    <row r="8365" spans="1:1">
      <c r="A8365" s="22"/>
    </row>
    <row r="8366" spans="1:1">
      <c r="A8366" s="22"/>
    </row>
    <row r="8367" spans="1:1">
      <c r="A8367" s="22"/>
    </row>
    <row r="8368" spans="1:1">
      <c r="A8368" s="22"/>
    </row>
    <row r="8369" spans="1:1">
      <c r="A8369" s="22"/>
    </row>
    <row r="8370" spans="1:1">
      <c r="A8370" s="22"/>
    </row>
    <row r="8371" spans="1:1">
      <c r="A8371" s="22"/>
    </row>
    <row r="8372" spans="1:1">
      <c r="A8372" s="22"/>
    </row>
    <row r="8373" spans="1:1">
      <c r="A8373" s="22"/>
    </row>
    <row r="8374" spans="1:1">
      <c r="A8374" s="22"/>
    </row>
    <row r="8375" spans="1:1">
      <c r="A8375" s="22"/>
    </row>
    <row r="8376" spans="1:1">
      <c r="A8376" s="22"/>
    </row>
    <row r="8377" spans="1:1">
      <c r="A8377" s="22"/>
    </row>
    <row r="8378" spans="1:1">
      <c r="A8378" s="22"/>
    </row>
    <row r="8379" spans="1:1">
      <c r="A8379" s="22"/>
    </row>
    <row r="8380" spans="1:1">
      <c r="A8380" s="22"/>
    </row>
    <row r="8381" spans="1:1">
      <c r="A8381" s="22"/>
    </row>
    <row r="8382" spans="1:1">
      <c r="A8382" s="22"/>
    </row>
    <row r="8383" spans="1:1">
      <c r="A8383" s="22"/>
    </row>
    <row r="8384" spans="1:1">
      <c r="A8384" s="22"/>
    </row>
    <row r="8385" spans="1:1">
      <c r="A8385" s="22"/>
    </row>
    <row r="8386" spans="1:1">
      <c r="A8386" s="22"/>
    </row>
    <row r="8387" spans="1:1">
      <c r="A8387" s="22"/>
    </row>
    <row r="8388" spans="1:1">
      <c r="A8388" s="22"/>
    </row>
    <row r="8389" spans="1:1">
      <c r="A8389" s="22"/>
    </row>
    <row r="8390" spans="1:1">
      <c r="A8390" s="22"/>
    </row>
    <row r="8391" spans="1:1">
      <c r="A8391" s="22"/>
    </row>
    <row r="8392" spans="1:1">
      <c r="A8392" s="22"/>
    </row>
    <row r="8393" spans="1:1">
      <c r="A8393" s="22"/>
    </row>
    <row r="8394" spans="1:1">
      <c r="A8394" s="22"/>
    </row>
    <row r="8395" spans="1:1">
      <c r="A8395" s="22"/>
    </row>
    <row r="8396" spans="1:1">
      <c r="A8396" s="22"/>
    </row>
    <row r="8397" spans="1:1">
      <c r="A8397" s="22"/>
    </row>
    <row r="8398" spans="1:1">
      <c r="A8398" s="22"/>
    </row>
    <row r="8399" spans="1:1">
      <c r="A8399" s="22"/>
    </row>
    <row r="8400" spans="1:1">
      <c r="A8400" s="22"/>
    </row>
    <row r="8401" spans="1:1">
      <c r="A8401" s="22"/>
    </row>
    <row r="8402" spans="1:1">
      <c r="A8402" s="22"/>
    </row>
    <row r="8403" spans="1:1">
      <c r="A8403" s="22"/>
    </row>
    <row r="8404" spans="1:1">
      <c r="A8404" s="22"/>
    </row>
    <row r="8405" spans="1:1">
      <c r="A8405" s="22"/>
    </row>
    <row r="8406" spans="1:1">
      <c r="A8406" s="22"/>
    </row>
    <row r="8407" spans="1:1">
      <c r="A8407" s="22"/>
    </row>
    <row r="8408" spans="1:1">
      <c r="A8408" s="22"/>
    </row>
    <row r="8409" spans="1:1">
      <c r="A8409" s="22"/>
    </row>
    <row r="8410" spans="1:1">
      <c r="A8410" s="22"/>
    </row>
    <row r="8411" spans="1:1">
      <c r="A8411" s="22"/>
    </row>
    <row r="8412" spans="1:1">
      <c r="A8412" s="22"/>
    </row>
    <row r="8413" spans="1:1">
      <c r="A8413" s="22"/>
    </row>
    <row r="8414" spans="1:1">
      <c r="A8414" s="22"/>
    </row>
    <row r="8415" spans="1:1">
      <c r="A8415" s="22"/>
    </row>
    <row r="8416" spans="1:1">
      <c r="A8416" s="22"/>
    </row>
    <row r="8417" spans="1:1">
      <c r="A8417" s="22"/>
    </row>
    <row r="8418" spans="1:1">
      <c r="A8418" s="22"/>
    </row>
    <row r="8419" spans="1:1">
      <c r="A8419" s="22"/>
    </row>
    <row r="8420" spans="1:1">
      <c r="A8420" s="22"/>
    </row>
    <row r="8421" spans="1:1">
      <c r="A8421" s="22"/>
    </row>
    <row r="8422" spans="1:1">
      <c r="A8422" s="22"/>
    </row>
    <row r="8423" spans="1:1">
      <c r="A8423" s="22"/>
    </row>
    <row r="8424" spans="1:1">
      <c r="A8424" s="22"/>
    </row>
    <row r="8425" spans="1:1">
      <c r="A8425" s="22"/>
    </row>
    <row r="8426" spans="1:1">
      <c r="A8426" s="22"/>
    </row>
    <row r="8427" spans="1:1">
      <c r="A8427" s="22"/>
    </row>
    <row r="8428" spans="1:1">
      <c r="A8428" s="22"/>
    </row>
    <row r="8429" spans="1:1">
      <c r="A8429" s="22"/>
    </row>
    <row r="8430" spans="1:1">
      <c r="A8430" s="22"/>
    </row>
    <row r="8431" spans="1:1">
      <c r="A8431" s="22"/>
    </row>
    <row r="8432" spans="1:1">
      <c r="A8432" s="22"/>
    </row>
    <row r="8433" spans="1:1">
      <c r="A8433" s="22"/>
    </row>
    <row r="8434" spans="1:1">
      <c r="A8434" s="22"/>
    </row>
    <row r="8435" spans="1:1">
      <c r="A8435" s="22"/>
    </row>
    <row r="8436" spans="1:1">
      <c r="A8436" s="22"/>
    </row>
    <row r="8437" spans="1:1">
      <c r="A8437" s="22"/>
    </row>
    <row r="8438" spans="1:1">
      <c r="A8438" s="22"/>
    </row>
    <row r="8439" spans="1:1">
      <c r="A8439" s="22"/>
    </row>
    <row r="8440" spans="1:1">
      <c r="A8440" s="22"/>
    </row>
    <row r="8441" spans="1:1">
      <c r="A8441" s="22"/>
    </row>
    <row r="8442" spans="1:1">
      <c r="A8442" s="22"/>
    </row>
    <row r="8443" spans="1:1">
      <c r="A8443" s="22"/>
    </row>
    <row r="8444" spans="1:1">
      <c r="A8444" s="22"/>
    </row>
    <row r="8445" spans="1:1">
      <c r="A8445" s="22"/>
    </row>
    <row r="8446" spans="1:1">
      <c r="A8446" s="22"/>
    </row>
    <row r="8447" spans="1:1">
      <c r="A8447" s="22"/>
    </row>
    <row r="8448" spans="1:1">
      <c r="A8448" s="22"/>
    </row>
    <row r="8449" spans="1:1">
      <c r="A8449" s="22"/>
    </row>
    <row r="8450" spans="1:1">
      <c r="A8450" s="22"/>
    </row>
    <row r="8451" spans="1:1">
      <c r="A8451" s="22"/>
    </row>
    <row r="8452" spans="1:1">
      <c r="A8452" s="22"/>
    </row>
    <row r="8453" spans="1:1">
      <c r="A8453" s="22"/>
    </row>
    <row r="8454" spans="1:1">
      <c r="A8454" s="22"/>
    </row>
    <row r="8455" spans="1:1">
      <c r="A8455" s="22"/>
    </row>
    <row r="8456" spans="1:1">
      <c r="A8456" s="22"/>
    </row>
    <row r="8457" spans="1:1">
      <c r="A8457" s="22"/>
    </row>
    <row r="8458" spans="1:1">
      <c r="A8458" s="22"/>
    </row>
    <row r="8459" spans="1:1">
      <c r="A8459" s="22"/>
    </row>
    <row r="8460" spans="1:1">
      <c r="A8460" s="22"/>
    </row>
    <row r="8461" spans="1:1">
      <c r="A8461" s="22"/>
    </row>
    <row r="8462" spans="1:1">
      <c r="A8462" s="22"/>
    </row>
    <row r="8463" spans="1:1">
      <c r="A8463" s="22"/>
    </row>
    <row r="8464" spans="1:1">
      <c r="A8464" s="22"/>
    </row>
    <row r="8465" spans="1:1">
      <c r="A8465" s="22"/>
    </row>
    <row r="8466" spans="1:1">
      <c r="A8466" s="22"/>
    </row>
    <row r="8467" spans="1:1">
      <c r="A8467" s="22"/>
    </row>
    <row r="8468" spans="1:1">
      <c r="A8468" s="22"/>
    </row>
    <row r="8469" spans="1:1">
      <c r="A8469" s="22"/>
    </row>
    <row r="8470" spans="1:1">
      <c r="A8470" s="22"/>
    </row>
    <row r="8471" spans="1:1">
      <c r="A8471" s="22"/>
    </row>
    <row r="8472" spans="1:1">
      <c r="A8472" s="22"/>
    </row>
    <row r="8473" spans="1:1">
      <c r="A8473" s="22"/>
    </row>
    <row r="8474" spans="1:1">
      <c r="A8474" s="22"/>
    </row>
    <row r="8475" spans="1:1">
      <c r="A8475" s="22"/>
    </row>
    <row r="8476" spans="1:1">
      <c r="A8476" s="22"/>
    </row>
    <row r="8477" spans="1:1">
      <c r="A8477" s="22"/>
    </row>
    <row r="8478" spans="1:1">
      <c r="A8478" s="22"/>
    </row>
    <row r="8479" spans="1:1">
      <c r="A8479" s="22"/>
    </row>
    <row r="8480" spans="1:1">
      <c r="A8480" s="22"/>
    </row>
    <row r="8481" spans="1:1">
      <c r="A8481" s="22"/>
    </row>
    <row r="8482" spans="1:1">
      <c r="A8482" s="22"/>
    </row>
    <row r="8483" spans="1:1">
      <c r="A8483" s="22"/>
    </row>
    <row r="8484" spans="1:1">
      <c r="A8484" s="22"/>
    </row>
    <row r="8485" spans="1:1">
      <c r="A8485" s="22"/>
    </row>
    <row r="8486" spans="1:1">
      <c r="A8486" s="22"/>
    </row>
    <row r="8487" spans="1:1">
      <c r="A8487" s="22"/>
    </row>
    <row r="8488" spans="1:1">
      <c r="A8488" s="22"/>
    </row>
    <row r="8489" spans="1:1">
      <c r="A8489" s="22"/>
    </row>
    <row r="8490" spans="1:1">
      <c r="A8490" s="22"/>
    </row>
    <row r="8491" spans="1:1">
      <c r="A8491" s="22"/>
    </row>
    <row r="8492" spans="1:1">
      <c r="A8492" s="22"/>
    </row>
    <row r="8493" spans="1:1">
      <c r="A8493" s="22"/>
    </row>
    <row r="8494" spans="1:1">
      <c r="A8494" s="22"/>
    </row>
    <row r="8495" spans="1:1">
      <c r="A8495" s="22"/>
    </row>
    <row r="8496" spans="1:1">
      <c r="A8496" s="22"/>
    </row>
    <row r="8497" spans="1:1">
      <c r="A8497" s="22"/>
    </row>
    <row r="8498" spans="1:1">
      <c r="A8498" s="22"/>
    </row>
    <row r="8499" spans="1:1">
      <c r="A8499" s="22"/>
    </row>
    <row r="8500" spans="1:1">
      <c r="A8500" s="22"/>
    </row>
    <row r="8501" spans="1:1">
      <c r="A8501" s="22"/>
    </row>
    <row r="8502" spans="1:1">
      <c r="A8502" s="22"/>
    </row>
    <row r="8503" spans="1:1">
      <c r="A8503" s="22"/>
    </row>
    <row r="8504" spans="1:1">
      <c r="A8504" s="22"/>
    </row>
    <row r="8505" spans="1:1">
      <c r="A8505" s="22"/>
    </row>
    <row r="8506" spans="1:1">
      <c r="A8506" s="22"/>
    </row>
    <row r="8507" spans="1:1">
      <c r="A8507" s="22"/>
    </row>
    <row r="8508" spans="1:1">
      <c r="A8508" s="22"/>
    </row>
    <row r="8509" spans="1:1">
      <c r="A8509" s="22"/>
    </row>
    <row r="8510" spans="1:1">
      <c r="A8510" s="22"/>
    </row>
    <row r="8511" spans="1:1">
      <c r="A8511" s="22"/>
    </row>
    <row r="8512" spans="1:1">
      <c r="A8512" s="22"/>
    </row>
    <row r="8513" spans="1:1">
      <c r="A8513" s="22"/>
    </row>
    <row r="8514" spans="1:1">
      <c r="A8514" s="22"/>
    </row>
    <row r="8515" spans="1:1">
      <c r="A8515" s="22"/>
    </row>
    <row r="8516" spans="1:1">
      <c r="A8516" s="22"/>
    </row>
    <row r="8517" spans="1:1">
      <c r="A8517" s="22"/>
    </row>
    <row r="8518" spans="1:1">
      <c r="A8518" s="22"/>
    </row>
    <row r="8519" spans="1:1">
      <c r="A8519" s="22"/>
    </row>
    <row r="8520" spans="1:1">
      <c r="A8520" s="22"/>
    </row>
    <row r="8521" spans="1:1">
      <c r="A8521" s="22"/>
    </row>
    <row r="8522" spans="1:1">
      <c r="A8522" s="22"/>
    </row>
    <row r="8523" spans="1:1">
      <c r="A8523" s="22"/>
    </row>
    <row r="8524" spans="1:1">
      <c r="A8524" s="22"/>
    </row>
    <row r="8525" spans="1:1">
      <c r="A8525" s="22"/>
    </row>
    <row r="8526" spans="1:1">
      <c r="A8526" s="22"/>
    </row>
    <row r="8527" spans="1:1">
      <c r="A8527" s="22"/>
    </row>
    <row r="8528" spans="1:1">
      <c r="A8528" s="22"/>
    </row>
    <row r="8529" spans="1:1">
      <c r="A8529" s="22"/>
    </row>
    <row r="8530" spans="1:1">
      <c r="A8530" s="22"/>
    </row>
    <row r="8531" spans="1:1">
      <c r="A8531" s="22"/>
    </row>
    <row r="8532" spans="1:1">
      <c r="A8532" s="22"/>
    </row>
    <row r="8533" spans="1:1">
      <c r="A8533" s="22"/>
    </row>
    <row r="8534" spans="1:1">
      <c r="A8534" s="22"/>
    </row>
    <row r="8535" spans="1:1">
      <c r="A8535" s="22"/>
    </row>
    <row r="8536" spans="1:1">
      <c r="A8536" s="22"/>
    </row>
    <row r="8537" spans="1:1">
      <c r="A8537" s="22"/>
    </row>
    <row r="8538" spans="1:1">
      <c r="A8538" s="22"/>
    </row>
    <row r="8539" spans="1:1">
      <c r="A8539" s="22"/>
    </row>
    <row r="8540" spans="1:1">
      <c r="A8540" s="22"/>
    </row>
    <row r="8541" spans="1:1">
      <c r="A8541" s="22"/>
    </row>
    <row r="8542" spans="1:1">
      <c r="A8542" s="22"/>
    </row>
    <row r="8543" spans="1:1">
      <c r="A8543" s="22"/>
    </row>
    <row r="8544" spans="1:1">
      <c r="A8544" s="22"/>
    </row>
    <row r="8545" spans="1:1">
      <c r="A8545" s="22"/>
    </row>
    <row r="8546" spans="1:1">
      <c r="A8546" s="22"/>
    </row>
    <row r="8547" spans="1:1">
      <c r="A8547" s="22"/>
    </row>
    <row r="8548" spans="1:1">
      <c r="A8548" s="22"/>
    </row>
    <row r="8549" spans="1:1">
      <c r="A8549" s="22"/>
    </row>
    <row r="8550" spans="1:1">
      <c r="A8550" s="22"/>
    </row>
    <row r="8551" spans="1:1">
      <c r="A8551" s="22"/>
    </row>
    <row r="8552" spans="1:1">
      <c r="A8552" s="22"/>
    </row>
    <row r="8553" spans="1:1">
      <c r="A8553" s="22"/>
    </row>
    <row r="8554" spans="1:1">
      <c r="A8554" s="22"/>
    </row>
    <row r="8555" spans="1:1">
      <c r="A8555" s="22"/>
    </row>
    <row r="8556" spans="1:1">
      <c r="A8556" s="22"/>
    </row>
    <row r="8557" spans="1:1">
      <c r="A8557" s="22"/>
    </row>
    <row r="8558" spans="1:1">
      <c r="A8558" s="22"/>
    </row>
    <row r="8559" spans="1:1">
      <c r="A8559" s="22"/>
    </row>
    <row r="8560" spans="1:1">
      <c r="A8560" s="22"/>
    </row>
    <row r="8561" spans="1:1">
      <c r="A8561" s="22"/>
    </row>
    <row r="8562" spans="1:1">
      <c r="A8562" s="22"/>
    </row>
    <row r="8563" spans="1:1">
      <c r="A8563" s="22"/>
    </row>
    <row r="8564" spans="1:1">
      <c r="A8564" s="22"/>
    </row>
    <row r="8565" spans="1:1">
      <c r="A8565" s="22"/>
    </row>
    <row r="8566" spans="1:1">
      <c r="A8566" s="22"/>
    </row>
    <row r="8567" spans="1:1">
      <c r="A8567" s="22"/>
    </row>
    <row r="8568" spans="1:1">
      <c r="A8568" s="22"/>
    </row>
    <row r="8569" spans="1:1">
      <c r="A8569" s="22"/>
    </row>
    <row r="8570" spans="1:1">
      <c r="A8570" s="22"/>
    </row>
    <row r="8571" spans="1:1">
      <c r="A8571" s="22"/>
    </row>
    <row r="8572" spans="1:1">
      <c r="A8572" s="22"/>
    </row>
    <row r="8573" spans="1:1">
      <c r="A8573" s="22"/>
    </row>
    <row r="8574" spans="1:1">
      <c r="A8574" s="22"/>
    </row>
    <row r="8575" spans="1:1">
      <c r="A8575" s="22"/>
    </row>
    <row r="8576" spans="1:1">
      <c r="A8576" s="22"/>
    </row>
    <row r="8577" spans="1:1">
      <c r="A8577" s="22"/>
    </row>
    <row r="8578" spans="1:1">
      <c r="A8578" s="22"/>
    </row>
    <row r="8579" spans="1:1">
      <c r="A8579" s="22"/>
    </row>
    <row r="8580" spans="1:1">
      <c r="A8580" s="22"/>
    </row>
    <row r="8581" spans="1:1">
      <c r="A8581" s="22"/>
    </row>
    <row r="8582" spans="1:1">
      <c r="A8582" s="22"/>
    </row>
    <row r="8583" spans="1:1">
      <c r="A8583" s="22"/>
    </row>
    <row r="8584" spans="1:1">
      <c r="A8584" s="22"/>
    </row>
    <row r="8585" spans="1:1">
      <c r="A8585" s="22"/>
    </row>
    <row r="8586" spans="1:1">
      <c r="A8586" s="22"/>
    </row>
    <row r="8587" spans="1:1">
      <c r="A8587" s="22"/>
    </row>
    <row r="8588" spans="1:1">
      <c r="A8588" s="22"/>
    </row>
    <row r="8589" spans="1:1">
      <c r="A8589" s="22"/>
    </row>
    <row r="8590" spans="1:1">
      <c r="A8590" s="22"/>
    </row>
    <row r="8591" spans="1:1">
      <c r="A8591" s="22"/>
    </row>
    <row r="8592" spans="1:1">
      <c r="A8592" s="22"/>
    </row>
    <row r="8593" spans="1:1">
      <c r="A8593" s="22"/>
    </row>
    <row r="8594" spans="1:1">
      <c r="A8594" s="22"/>
    </row>
    <row r="8595" spans="1:1">
      <c r="A8595" s="22"/>
    </row>
    <row r="8596" spans="1:1">
      <c r="A8596" s="22"/>
    </row>
    <row r="8597" spans="1:1">
      <c r="A8597" s="22"/>
    </row>
    <row r="8598" spans="1:1">
      <c r="A8598" s="22"/>
    </row>
    <row r="8599" spans="1:1">
      <c r="A8599" s="22"/>
    </row>
    <row r="8600" spans="1:1">
      <c r="A8600" s="22"/>
    </row>
    <row r="8601" spans="1:1">
      <c r="A8601" s="22"/>
    </row>
    <row r="8602" spans="1:1">
      <c r="A8602" s="22"/>
    </row>
    <row r="8603" spans="1:1">
      <c r="A8603" s="22"/>
    </row>
    <row r="8604" spans="1:1">
      <c r="A8604" s="22"/>
    </row>
    <row r="8605" spans="1:1">
      <c r="A8605" s="22"/>
    </row>
    <row r="8606" spans="1:1">
      <c r="A8606" s="22"/>
    </row>
    <row r="8607" spans="1:1">
      <c r="A8607" s="22"/>
    </row>
    <row r="8608" spans="1:1">
      <c r="A8608" s="22"/>
    </row>
    <row r="8609" spans="1:1">
      <c r="A8609" s="22"/>
    </row>
    <row r="8610" spans="1:1">
      <c r="A8610" s="22"/>
    </row>
    <row r="8611" spans="1:1">
      <c r="A8611" s="22"/>
    </row>
    <row r="8612" spans="1:1">
      <c r="A8612" s="22"/>
    </row>
    <row r="8613" spans="1:1">
      <c r="A8613" s="22"/>
    </row>
    <row r="8614" spans="1:1">
      <c r="A8614" s="22"/>
    </row>
    <row r="8615" spans="1:1">
      <c r="A8615" s="22"/>
    </row>
    <row r="8616" spans="1:1">
      <c r="A8616" s="22"/>
    </row>
    <row r="8617" spans="1:1">
      <c r="A8617" s="22"/>
    </row>
    <row r="8618" spans="1:1">
      <c r="A8618" s="22"/>
    </row>
    <row r="8619" spans="1:1">
      <c r="A8619" s="22"/>
    </row>
    <row r="8620" spans="1:1">
      <c r="A8620" s="22"/>
    </row>
    <row r="8621" spans="1:1">
      <c r="A8621" s="22"/>
    </row>
    <row r="8622" spans="1:1">
      <c r="A8622" s="22"/>
    </row>
    <row r="8623" spans="1:1">
      <c r="A8623" s="22"/>
    </row>
    <row r="8624" spans="1:1">
      <c r="A8624" s="22"/>
    </row>
    <row r="8625" spans="1:1">
      <c r="A8625" s="22"/>
    </row>
    <row r="8626" spans="1:1">
      <c r="A8626" s="22"/>
    </row>
    <row r="8627" spans="1:1">
      <c r="A8627" s="22"/>
    </row>
    <row r="8628" spans="1:1">
      <c r="A8628" s="22"/>
    </row>
    <row r="8629" spans="1:1">
      <c r="A8629" s="22"/>
    </row>
    <row r="8630" spans="1:1">
      <c r="A8630" s="22"/>
    </row>
    <row r="8631" spans="1:1">
      <c r="A8631" s="22"/>
    </row>
    <row r="8632" spans="1:1">
      <c r="A8632" s="22"/>
    </row>
    <row r="8633" spans="1:1">
      <c r="A8633" s="22"/>
    </row>
    <row r="8634" spans="1:1">
      <c r="A8634" s="22"/>
    </row>
    <row r="8635" spans="1:1">
      <c r="A8635" s="22"/>
    </row>
    <row r="8636" spans="1:1">
      <c r="A8636" s="22"/>
    </row>
    <row r="8637" spans="1:1">
      <c r="A8637" s="22"/>
    </row>
    <row r="8638" spans="1:1">
      <c r="A8638" s="22"/>
    </row>
    <row r="8639" spans="1:1">
      <c r="A8639" s="22"/>
    </row>
    <row r="8640" spans="1:1">
      <c r="A8640" s="22"/>
    </row>
    <row r="8641" spans="1:1">
      <c r="A8641" s="22"/>
    </row>
    <row r="8642" spans="1:1">
      <c r="A8642" s="22"/>
    </row>
    <row r="8643" spans="1:1">
      <c r="A8643" s="22"/>
    </row>
    <row r="8644" spans="1:1">
      <c r="A8644" s="22"/>
    </row>
    <row r="8645" spans="1:1">
      <c r="A8645" s="22"/>
    </row>
    <row r="8646" spans="1:1">
      <c r="A8646" s="22"/>
    </row>
    <row r="8647" spans="1:1">
      <c r="A8647" s="22"/>
    </row>
    <row r="8648" spans="1:1">
      <c r="A8648" s="22"/>
    </row>
    <row r="8649" spans="1:1">
      <c r="A8649" s="22"/>
    </row>
    <row r="8650" spans="1:1">
      <c r="A8650" s="22"/>
    </row>
    <row r="8651" spans="1:1">
      <c r="A8651" s="22"/>
    </row>
    <row r="8652" spans="1:1">
      <c r="A8652" s="22"/>
    </row>
    <row r="8653" spans="1:1">
      <c r="A8653" s="22"/>
    </row>
    <row r="8654" spans="1:1">
      <c r="A8654" s="22"/>
    </row>
    <row r="8655" spans="1:1">
      <c r="A8655" s="22"/>
    </row>
    <row r="8656" spans="1:1">
      <c r="A8656" s="22"/>
    </row>
    <row r="8657" spans="1:1">
      <c r="A8657" s="22"/>
    </row>
    <row r="8658" spans="1:1">
      <c r="A8658" s="22"/>
    </row>
    <row r="8659" spans="1:1">
      <c r="A8659" s="22"/>
    </row>
    <row r="8660" spans="1:1">
      <c r="A8660" s="22"/>
    </row>
    <row r="8661" spans="1:1">
      <c r="A8661" s="22"/>
    </row>
    <row r="8662" spans="1:1">
      <c r="A8662" s="22"/>
    </row>
    <row r="8663" spans="1:1">
      <c r="A8663" s="22"/>
    </row>
    <row r="8664" spans="1:1">
      <c r="A8664" s="22"/>
    </row>
    <row r="8665" spans="1:1">
      <c r="A8665" s="22"/>
    </row>
    <row r="8666" spans="1:1">
      <c r="A8666" s="22"/>
    </row>
    <row r="8667" spans="1:1">
      <c r="A8667" s="22"/>
    </row>
    <row r="8668" spans="1:1">
      <c r="A8668" s="22"/>
    </row>
    <row r="8669" spans="1:1">
      <c r="A8669" s="22"/>
    </row>
    <row r="8670" spans="1:1">
      <c r="A8670" s="22"/>
    </row>
    <row r="8671" spans="1:1">
      <c r="A8671" s="22"/>
    </row>
    <row r="8672" spans="1:1">
      <c r="A8672" s="22"/>
    </row>
    <row r="8673" spans="1:1">
      <c r="A8673" s="22"/>
    </row>
    <row r="8674" spans="1:1">
      <c r="A8674" s="22"/>
    </row>
    <row r="8675" spans="1:1">
      <c r="A8675" s="22"/>
    </row>
    <row r="8676" spans="1:1">
      <c r="A8676" s="22"/>
    </row>
    <row r="8677" spans="1:1">
      <c r="A8677" s="22"/>
    </row>
    <row r="8678" spans="1:1">
      <c r="A8678" s="22"/>
    </row>
    <row r="8679" spans="1:1">
      <c r="A8679" s="22"/>
    </row>
    <row r="8680" spans="1:1">
      <c r="A8680" s="22"/>
    </row>
    <row r="8681" spans="1:1">
      <c r="A8681" s="22"/>
    </row>
    <row r="8682" spans="1:1">
      <c r="A8682" s="22"/>
    </row>
    <row r="8683" spans="1:1">
      <c r="A8683" s="22"/>
    </row>
    <row r="8684" spans="1:1">
      <c r="A8684" s="22"/>
    </row>
    <row r="8685" spans="1:1">
      <c r="A8685" s="22"/>
    </row>
    <row r="8686" spans="1:1">
      <c r="A8686" s="22"/>
    </row>
    <row r="8687" spans="1:1">
      <c r="A8687" s="22"/>
    </row>
    <row r="8688" spans="1:1">
      <c r="A8688" s="22"/>
    </row>
    <row r="8689" spans="1:1">
      <c r="A8689" s="22"/>
    </row>
    <row r="8690" spans="1:1">
      <c r="A8690" s="22"/>
    </row>
    <row r="8691" spans="1:1">
      <c r="A8691" s="22"/>
    </row>
    <row r="8692" spans="1:1">
      <c r="A8692" s="22"/>
    </row>
    <row r="8693" spans="1:1">
      <c r="A8693" s="22"/>
    </row>
    <row r="8694" spans="1:1">
      <c r="A8694" s="22"/>
    </row>
    <row r="8695" spans="1:1">
      <c r="A8695" s="22"/>
    </row>
    <row r="8696" spans="1:1">
      <c r="A8696" s="22"/>
    </row>
    <row r="8697" spans="1:1">
      <c r="A8697" s="22"/>
    </row>
    <row r="8698" spans="1:1">
      <c r="A8698" s="22"/>
    </row>
    <row r="8699" spans="1:1">
      <c r="A8699" s="22"/>
    </row>
    <row r="8700" spans="1:1">
      <c r="A8700" s="22"/>
    </row>
    <row r="8701" spans="1:1">
      <c r="A8701" s="22"/>
    </row>
    <row r="8702" spans="1:1">
      <c r="A8702" s="22"/>
    </row>
    <row r="8703" spans="1:1">
      <c r="A8703" s="22"/>
    </row>
    <row r="8704" spans="1:1">
      <c r="A8704" s="22"/>
    </row>
    <row r="8705" spans="1:1">
      <c r="A8705" s="22"/>
    </row>
    <row r="8706" spans="1:1">
      <c r="A8706" s="22"/>
    </row>
    <row r="8707" spans="1:1">
      <c r="A8707" s="22"/>
    </row>
    <row r="8708" spans="1:1">
      <c r="A8708" s="22"/>
    </row>
    <row r="8709" spans="1:1">
      <c r="A8709" s="22"/>
    </row>
    <row r="8710" spans="1:1">
      <c r="A8710" s="22"/>
    </row>
    <row r="8711" spans="1:1">
      <c r="A8711" s="22"/>
    </row>
    <row r="8712" spans="1:1">
      <c r="A8712" s="22"/>
    </row>
    <row r="8713" spans="1:1">
      <c r="A8713" s="22"/>
    </row>
    <row r="8714" spans="1:1">
      <c r="A8714" s="22"/>
    </row>
    <row r="8715" spans="1:1">
      <c r="A8715" s="22"/>
    </row>
    <row r="8716" spans="1:1">
      <c r="A8716" s="22"/>
    </row>
    <row r="8717" spans="1:1">
      <c r="A8717" s="22"/>
    </row>
    <row r="8718" spans="1:1">
      <c r="A8718" s="22"/>
    </row>
    <row r="8719" spans="1:1">
      <c r="A8719" s="22"/>
    </row>
    <row r="8720" spans="1:1">
      <c r="A8720" s="22"/>
    </row>
    <row r="8721" spans="1:1">
      <c r="A8721" s="22"/>
    </row>
    <row r="8722" spans="1:1">
      <c r="A8722" s="22"/>
    </row>
    <row r="8723" spans="1:1">
      <c r="A8723" s="22"/>
    </row>
    <row r="8724" spans="1:1">
      <c r="A8724" s="22"/>
    </row>
    <row r="8725" spans="1:1">
      <c r="A8725" s="22"/>
    </row>
    <row r="8726" spans="1:1">
      <c r="A8726" s="22"/>
    </row>
    <row r="8727" spans="1:1">
      <c r="A8727" s="22"/>
    </row>
    <row r="8728" spans="1:1">
      <c r="A8728" s="22"/>
    </row>
    <row r="8729" spans="1:1">
      <c r="A8729" s="22"/>
    </row>
    <row r="8730" spans="1:1">
      <c r="A8730" s="22"/>
    </row>
    <row r="8731" spans="1:1">
      <c r="A8731" s="22"/>
    </row>
    <row r="8732" spans="1:1">
      <c r="A8732" s="22"/>
    </row>
    <row r="8733" spans="1:1">
      <c r="A8733" s="22"/>
    </row>
    <row r="8734" spans="1:1">
      <c r="A8734" s="22"/>
    </row>
    <row r="8735" spans="1:1">
      <c r="A8735" s="22"/>
    </row>
    <row r="8736" spans="1:1">
      <c r="A8736" s="22"/>
    </row>
    <row r="8737" spans="1:1">
      <c r="A8737" s="22"/>
    </row>
    <row r="8738" spans="1:1">
      <c r="A8738" s="22"/>
    </row>
    <row r="8739" spans="1:1">
      <c r="A8739" s="22"/>
    </row>
    <row r="8740" spans="1:1">
      <c r="A8740" s="22"/>
    </row>
    <row r="8741" spans="1:1">
      <c r="A8741" s="22"/>
    </row>
    <row r="8742" spans="1:1">
      <c r="A8742" s="22"/>
    </row>
    <row r="8743" spans="1:1">
      <c r="A8743" s="22"/>
    </row>
    <row r="8744" spans="1:1">
      <c r="A8744" s="22"/>
    </row>
    <row r="8745" spans="1:1">
      <c r="A8745" s="22"/>
    </row>
    <row r="8746" spans="1:1">
      <c r="A8746" s="22"/>
    </row>
    <row r="8747" spans="1:1">
      <c r="A8747" s="22"/>
    </row>
    <row r="8748" spans="1:1">
      <c r="A8748" s="22"/>
    </row>
    <row r="8749" spans="1:1">
      <c r="A8749" s="22"/>
    </row>
    <row r="8750" spans="1:1">
      <c r="A8750" s="22"/>
    </row>
    <row r="8751" spans="1:1">
      <c r="A8751" s="22"/>
    </row>
    <row r="8752" spans="1:1">
      <c r="A8752" s="22"/>
    </row>
    <row r="8753" spans="1:1">
      <c r="A8753" s="22"/>
    </row>
    <row r="8754" spans="1:1">
      <c r="A8754" s="22"/>
    </row>
    <row r="8755" spans="1:1">
      <c r="A8755" s="22"/>
    </row>
    <row r="8756" spans="1:1">
      <c r="A8756" s="22"/>
    </row>
    <row r="8757" spans="1:1">
      <c r="A8757" s="22"/>
    </row>
    <row r="8758" spans="1:1">
      <c r="A8758" s="22"/>
    </row>
    <row r="8759" spans="1:1">
      <c r="A8759" s="22"/>
    </row>
    <row r="8760" spans="1:1">
      <c r="A8760" s="22"/>
    </row>
    <row r="8761" spans="1:1">
      <c r="A8761" s="22"/>
    </row>
    <row r="8762" spans="1:1">
      <c r="A8762" s="22"/>
    </row>
    <row r="8763" spans="1:1">
      <c r="A8763" s="22"/>
    </row>
    <row r="8764" spans="1:1">
      <c r="A8764" s="22"/>
    </row>
    <row r="8765" spans="1:1">
      <c r="A8765" s="22"/>
    </row>
    <row r="8766" spans="1:1">
      <c r="A8766" s="22"/>
    </row>
    <row r="8767" spans="1:1">
      <c r="A8767" s="22"/>
    </row>
    <row r="8768" spans="1:1">
      <c r="A8768" s="22"/>
    </row>
    <row r="8769" spans="1:1">
      <c r="A8769" s="22"/>
    </row>
    <row r="8770" spans="1:1">
      <c r="A8770" s="22"/>
    </row>
    <row r="8771" spans="1:1">
      <c r="A8771" s="22"/>
    </row>
    <row r="8772" spans="1:1">
      <c r="A8772" s="22"/>
    </row>
    <row r="8773" spans="1:1">
      <c r="A8773" s="22"/>
    </row>
    <row r="8774" spans="1:1">
      <c r="A8774" s="22"/>
    </row>
    <row r="8775" spans="1:1">
      <c r="A8775" s="22"/>
    </row>
    <row r="8776" spans="1:1">
      <c r="A8776" s="22"/>
    </row>
    <row r="8777" spans="1:1">
      <c r="A8777" s="22"/>
    </row>
    <row r="8778" spans="1:1">
      <c r="A8778" s="22"/>
    </row>
    <row r="8779" spans="1:1">
      <c r="A8779" s="22"/>
    </row>
    <row r="8780" spans="1:1">
      <c r="A8780" s="22"/>
    </row>
    <row r="8781" spans="1:1">
      <c r="A8781" s="22"/>
    </row>
    <row r="8782" spans="1:1">
      <c r="A8782" s="22"/>
    </row>
    <row r="8783" spans="1:1">
      <c r="A8783" s="22"/>
    </row>
    <row r="8784" spans="1:1">
      <c r="A8784" s="22"/>
    </row>
    <row r="8785" spans="1:1">
      <c r="A8785" s="22"/>
    </row>
    <row r="8786" spans="1:1">
      <c r="A8786" s="22"/>
    </row>
    <row r="8787" spans="1:1">
      <c r="A8787" s="22"/>
    </row>
    <row r="8788" spans="1:1">
      <c r="A8788" s="22"/>
    </row>
    <row r="8789" spans="1:1">
      <c r="A8789" s="22"/>
    </row>
    <row r="8790" spans="1:1">
      <c r="A8790" s="22"/>
    </row>
    <row r="8791" spans="1:1">
      <c r="A8791" s="22"/>
    </row>
    <row r="8792" spans="1:1">
      <c r="A8792" s="22"/>
    </row>
    <row r="8793" spans="1:1">
      <c r="A8793" s="22"/>
    </row>
    <row r="8794" spans="1:1">
      <c r="A8794" s="22"/>
    </row>
    <row r="8795" spans="1:1">
      <c r="A8795" s="22"/>
    </row>
    <row r="8796" spans="1:1">
      <c r="A8796" s="22"/>
    </row>
    <row r="8797" spans="1:1">
      <c r="A8797" s="22"/>
    </row>
    <row r="8798" spans="1:1">
      <c r="A8798" s="22"/>
    </row>
    <row r="8799" spans="1:1">
      <c r="A8799" s="22"/>
    </row>
    <row r="8800" spans="1:1">
      <c r="A8800" s="22"/>
    </row>
    <row r="8801" spans="1:1">
      <c r="A8801" s="22"/>
    </row>
    <row r="8802" spans="1:1">
      <c r="A8802" s="22"/>
    </row>
    <row r="8803" spans="1:1">
      <c r="A8803" s="22"/>
    </row>
    <row r="8804" spans="1:1">
      <c r="A8804" s="22"/>
    </row>
    <row r="8805" spans="1:1">
      <c r="A8805" s="22"/>
    </row>
    <row r="8806" spans="1:1">
      <c r="A8806" s="22"/>
    </row>
    <row r="8807" spans="1:1">
      <c r="A8807" s="22"/>
    </row>
    <row r="8808" spans="1:1">
      <c r="A8808" s="22"/>
    </row>
    <row r="8809" spans="1:1">
      <c r="A8809" s="22"/>
    </row>
    <row r="8810" spans="1:1">
      <c r="A8810" s="22"/>
    </row>
    <row r="8811" spans="1:1">
      <c r="A8811" s="22"/>
    </row>
    <row r="8812" spans="1:1">
      <c r="A8812" s="22"/>
    </row>
    <row r="8813" spans="1:1">
      <c r="A8813" s="22"/>
    </row>
    <row r="8814" spans="1:1">
      <c r="A8814" s="22"/>
    </row>
    <row r="8815" spans="1:1">
      <c r="A8815" s="22"/>
    </row>
    <row r="8816" spans="1:1">
      <c r="A8816" s="22"/>
    </row>
    <row r="8817" spans="1:1">
      <c r="A8817" s="22"/>
    </row>
    <row r="8818" spans="1:1">
      <c r="A8818" s="22"/>
    </row>
    <row r="8819" spans="1:1">
      <c r="A8819" s="22"/>
    </row>
    <row r="8820" spans="1:1">
      <c r="A8820" s="22"/>
    </row>
    <row r="8821" spans="1:1">
      <c r="A8821" s="22"/>
    </row>
    <row r="8822" spans="1:1">
      <c r="A8822" s="22"/>
    </row>
    <row r="8823" spans="1:1">
      <c r="A8823" s="22"/>
    </row>
    <row r="8824" spans="1:1">
      <c r="A8824" s="22"/>
    </row>
    <row r="8825" spans="1:1">
      <c r="A8825" s="22"/>
    </row>
    <row r="8826" spans="1:1">
      <c r="A8826" s="22"/>
    </row>
    <row r="8827" spans="1:1">
      <c r="A8827" s="22"/>
    </row>
    <row r="8828" spans="1:1">
      <c r="A8828" s="22"/>
    </row>
    <row r="8829" spans="1:1">
      <c r="A8829" s="22"/>
    </row>
    <row r="8830" spans="1:1">
      <c r="A8830" s="22"/>
    </row>
    <row r="8831" spans="1:1">
      <c r="A8831" s="22"/>
    </row>
    <row r="8832" spans="1:1">
      <c r="A8832" s="22"/>
    </row>
    <row r="8833" spans="1:1">
      <c r="A8833" s="22"/>
    </row>
    <row r="8834" spans="1:1">
      <c r="A8834" s="22"/>
    </row>
    <row r="8835" spans="1:1">
      <c r="A8835" s="22"/>
    </row>
    <row r="8836" spans="1:1">
      <c r="A8836" s="22"/>
    </row>
    <row r="8837" spans="1:1">
      <c r="A8837" s="22"/>
    </row>
    <row r="8838" spans="1:1">
      <c r="A8838" s="22"/>
    </row>
    <row r="8839" spans="1:1">
      <c r="A8839" s="22"/>
    </row>
    <row r="8840" spans="1:1">
      <c r="A8840" s="22"/>
    </row>
    <row r="8841" spans="1:1">
      <c r="A8841" s="22"/>
    </row>
    <row r="8842" spans="1:1">
      <c r="A8842" s="22"/>
    </row>
    <row r="8843" spans="1:1">
      <c r="A8843" s="22"/>
    </row>
    <row r="8844" spans="1:1">
      <c r="A8844" s="22"/>
    </row>
    <row r="8845" spans="1:1">
      <c r="A8845" s="22"/>
    </row>
    <row r="8846" spans="1:1">
      <c r="A8846" s="22"/>
    </row>
    <row r="8847" spans="1:1">
      <c r="A8847" s="22"/>
    </row>
    <row r="8848" spans="1:1">
      <c r="A8848" s="22"/>
    </row>
    <row r="8849" spans="1:1">
      <c r="A8849" s="22"/>
    </row>
    <row r="8850" spans="1:1">
      <c r="A8850" s="22"/>
    </row>
    <row r="8851" spans="1:1">
      <c r="A8851" s="22"/>
    </row>
    <row r="8852" spans="1:1">
      <c r="A8852" s="22"/>
    </row>
    <row r="8853" spans="1:1">
      <c r="A8853" s="22"/>
    </row>
    <row r="8854" spans="1:1">
      <c r="A8854" s="22"/>
    </row>
    <row r="8855" spans="1:1">
      <c r="A8855" s="22"/>
    </row>
    <row r="8856" spans="1:1">
      <c r="A8856" s="22"/>
    </row>
    <row r="8857" spans="1:1">
      <c r="A8857" s="22"/>
    </row>
    <row r="8858" spans="1:1">
      <c r="A8858" s="22"/>
    </row>
    <row r="8859" spans="1:1">
      <c r="A8859" s="22"/>
    </row>
    <row r="8860" spans="1:1">
      <c r="A8860" s="22"/>
    </row>
    <row r="8861" spans="1:1">
      <c r="A8861" s="22"/>
    </row>
    <row r="8862" spans="1:1">
      <c r="A8862" s="22"/>
    </row>
    <row r="8863" spans="1:1">
      <c r="A8863" s="22"/>
    </row>
    <row r="8864" spans="1:1">
      <c r="A8864" s="22"/>
    </row>
    <row r="8865" spans="1:1">
      <c r="A8865" s="22"/>
    </row>
    <row r="8866" spans="1:1">
      <c r="A8866" s="22"/>
    </row>
    <row r="8867" spans="1:1">
      <c r="A8867" s="22"/>
    </row>
    <row r="8868" spans="1:1">
      <c r="A8868" s="22"/>
    </row>
    <row r="8869" spans="1:1">
      <c r="A8869" s="22"/>
    </row>
    <row r="8870" spans="1:1">
      <c r="A8870" s="22"/>
    </row>
    <row r="8871" spans="1:1">
      <c r="A8871" s="22"/>
    </row>
    <row r="8872" spans="1:1">
      <c r="A8872" s="22"/>
    </row>
    <row r="8873" spans="1:1">
      <c r="A8873" s="22"/>
    </row>
    <row r="8874" spans="1:1">
      <c r="A8874" s="22"/>
    </row>
    <row r="8875" spans="1:1">
      <c r="A8875" s="22"/>
    </row>
    <row r="8876" spans="1:1">
      <c r="A8876" s="22"/>
    </row>
    <row r="8877" spans="1:1">
      <c r="A8877" s="22"/>
    </row>
    <row r="8878" spans="1:1">
      <c r="A8878" s="22"/>
    </row>
    <row r="8879" spans="1:1">
      <c r="A8879" s="22"/>
    </row>
    <row r="8880" spans="1:1">
      <c r="A8880" s="22"/>
    </row>
    <row r="8881" spans="1:1">
      <c r="A8881" s="22"/>
    </row>
    <row r="8882" spans="1:1">
      <c r="A8882" s="22"/>
    </row>
    <row r="8883" spans="1:1">
      <c r="A8883" s="22"/>
    </row>
    <row r="8884" spans="1:1">
      <c r="A8884" s="22"/>
    </row>
    <row r="8885" spans="1:1">
      <c r="A8885" s="22"/>
    </row>
    <row r="8886" spans="1:1">
      <c r="A8886" s="22"/>
    </row>
    <row r="8887" spans="1:1">
      <c r="A8887" s="22"/>
    </row>
    <row r="8888" spans="1:1">
      <c r="A8888" s="22"/>
    </row>
    <row r="8889" spans="1:1">
      <c r="A8889" s="22"/>
    </row>
    <row r="8890" spans="1:1">
      <c r="A8890" s="22"/>
    </row>
    <row r="8891" spans="1:1">
      <c r="A8891" s="22"/>
    </row>
    <row r="8892" spans="1:1">
      <c r="A8892" s="22"/>
    </row>
    <row r="8893" spans="1:1">
      <c r="A8893" s="22"/>
    </row>
    <row r="8894" spans="1:1">
      <c r="A8894" s="22"/>
    </row>
    <row r="8895" spans="1:1">
      <c r="A8895" s="22"/>
    </row>
    <row r="8896" spans="1:1">
      <c r="A8896" s="22"/>
    </row>
    <row r="8897" spans="1:1">
      <c r="A8897" s="22"/>
    </row>
    <row r="8898" spans="1:1">
      <c r="A8898" s="22"/>
    </row>
    <row r="8899" spans="1:1">
      <c r="A8899" s="22"/>
    </row>
    <row r="8900" spans="1:1">
      <c r="A8900" s="22"/>
    </row>
    <row r="8901" spans="1:1">
      <c r="A8901" s="22"/>
    </row>
    <row r="8902" spans="1:1">
      <c r="A8902" s="22"/>
    </row>
    <row r="8903" spans="1:1">
      <c r="A8903" s="22"/>
    </row>
    <row r="8904" spans="1:1">
      <c r="A8904" s="22"/>
    </row>
    <row r="8905" spans="1:1">
      <c r="A8905" s="22"/>
    </row>
    <row r="8906" spans="1:1">
      <c r="A8906" s="22"/>
    </row>
    <row r="8907" spans="1:1">
      <c r="A8907" s="22"/>
    </row>
    <row r="8908" spans="1:1">
      <c r="A8908" s="22"/>
    </row>
    <row r="8909" spans="1:1">
      <c r="A8909" s="22"/>
    </row>
    <row r="8910" spans="1:1">
      <c r="A8910" s="22"/>
    </row>
    <row r="8911" spans="1:1">
      <c r="A8911" s="22"/>
    </row>
    <row r="8912" spans="1:1">
      <c r="A8912" s="22"/>
    </row>
    <row r="8913" spans="1:1">
      <c r="A8913" s="22"/>
    </row>
    <row r="8914" spans="1:1">
      <c r="A8914" s="22"/>
    </row>
    <row r="8915" spans="1:1">
      <c r="A8915" s="22"/>
    </row>
    <row r="8916" spans="1:1">
      <c r="A8916" s="22"/>
    </row>
    <row r="8917" spans="1:1">
      <c r="A8917" s="22"/>
    </row>
    <row r="8918" spans="1:1">
      <c r="A8918" s="22"/>
    </row>
    <row r="8919" spans="1:1">
      <c r="A8919" s="22"/>
    </row>
    <row r="8920" spans="1:1">
      <c r="A8920" s="22"/>
    </row>
    <row r="8921" spans="1:1">
      <c r="A8921" s="22"/>
    </row>
    <row r="8922" spans="1:1">
      <c r="A8922" s="22"/>
    </row>
    <row r="8923" spans="1:1">
      <c r="A8923" s="22"/>
    </row>
    <row r="8924" spans="1:1">
      <c r="A8924" s="22"/>
    </row>
    <row r="8925" spans="1:1">
      <c r="A8925" s="22"/>
    </row>
    <row r="8926" spans="1:1">
      <c r="A8926" s="22"/>
    </row>
    <row r="8927" spans="1:1">
      <c r="A8927" s="22"/>
    </row>
    <row r="8928" spans="1:1">
      <c r="A8928" s="22"/>
    </row>
    <row r="8929" spans="1:1">
      <c r="A8929" s="22"/>
    </row>
    <row r="8930" spans="1:1">
      <c r="A8930" s="22"/>
    </row>
    <row r="8931" spans="1:1">
      <c r="A8931" s="22"/>
    </row>
    <row r="8932" spans="1:1">
      <c r="A8932" s="22"/>
    </row>
    <row r="8933" spans="1:1">
      <c r="A8933" s="22"/>
    </row>
    <row r="8934" spans="1:1">
      <c r="A8934" s="22"/>
    </row>
    <row r="8935" spans="1:1">
      <c r="A8935" s="22"/>
    </row>
    <row r="8936" spans="1:1">
      <c r="A8936" s="22"/>
    </row>
    <row r="8937" spans="1:1">
      <c r="A8937" s="22"/>
    </row>
    <row r="8938" spans="1:1">
      <c r="A8938" s="22"/>
    </row>
    <row r="8939" spans="1:1">
      <c r="A8939" s="22"/>
    </row>
    <row r="8940" spans="1:1">
      <c r="A8940" s="22"/>
    </row>
    <row r="8941" spans="1:1">
      <c r="A8941" s="22"/>
    </row>
    <row r="8942" spans="1:1">
      <c r="A8942" s="22"/>
    </row>
    <row r="8943" spans="1:1">
      <c r="A8943" s="22"/>
    </row>
    <row r="8944" spans="1:1">
      <c r="A8944" s="22"/>
    </row>
    <row r="8945" spans="1:1">
      <c r="A8945" s="22"/>
    </row>
    <row r="8946" spans="1:1">
      <c r="A8946" s="22"/>
    </row>
    <row r="8947" spans="1:1">
      <c r="A8947" s="22"/>
    </row>
    <row r="8948" spans="1:1">
      <c r="A8948" s="22"/>
    </row>
    <row r="8949" spans="1:1">
      <c r="A8949" s="22"/>
    </row>
    <row r="8950" spans="1:1">
      <c r="A8950" s="22"/>
    </row>
    <row r="8951" spans="1:1">
      <c r="A8951" s="22"/>
    </row>
    <row r="8952" spans="1:1">
      <c r="A8952" s="22"/>
    </row>
    <row r="8953" spans="1:1">
      <c r="A8953" s="22"/>
    </row>
    <row r="8954" spans="1:1">
      <c r="A8954" s="22"/>
    </row>
    <row r="8955" spans="1:1">
      <c r="A8955" s="22"/>
    </row>
    <row r="8956" spans="1:1">
      <c r="A8956" s="22"/>
    </row>
    <row r="8957" spans="1:1">
      <c r="A8957" s="22"/>
    </row>
    <row r="8958" spans="1:1">
      <c r="A8958" s="22"/>
    </row>
    <row r="8959" spans="1:1">
      <c r="A8959" s="22"/>
    </row>
    <row r="8960" spans="1:1">
      <c r="A8960" s="22"/>
    </row>
    <row r="8961" spans="1:1">
      <c r="A8961" s="22"/>
    </row>
    <row r="8962" spans="1:1">
      <c r="A8962" s="22"/>
    </row>
    <row r="8963" spans="1:1">
      <c r="A8963" s="22"/>
    </row>
    <row r="8964" spans="1:1">
      <c r="A8964" s="22"/>
    </row>
    <row r="8965" spans="1:1">
      <c r="A8965" s="22"/>
    </row>
    <row r="8966" spans="1:1">
      <c r="A8966" s="22"/>
    </row>
    <row r="8967" spans="1:1">
      <c r="A8967" s="22"/>
    </row>
    <row r="8968" spans="1:1">
      <c r="A8968" s="22"/>
    </row>
    <row r="8969" spans="1:1">
      <c r="A8969" s="22"/>
    </row>
    <row r="8970" spans="1:1">
      <c r="A8970" s="22"/>
    </row>
    <row r="8971" spans="1:1">
      <c r="A8971" s="22"/>
    </row>
    <row r="8972" spans="1:1">
      <c r="A8972" s="22"/>
    </row>
    <row r="8973" spans="1:1">
      <c r="A8973" s="22"/>
    </row>
    <row r="8974" spans="1:1">
      <c r="A8974" s="22"/>
    </row>
    <row r="8975" spans="1:1">
      <c r="A8975" s="22"/>
    </row>
    <row r="8976" spans="1:1">
      <c r="A8976" s="22"/>
    </row>
    <row r="8977" spans="1:1">
      <c r="A8977" s="22"/>
    </row>
    <row r="8978" spans="1:1">
      <c r="A8978" s="22"/>
    </row>
    <row r="8979" spans="1:1">
      <c r="A8979" s="22"/>
    </row>
    <row r="8980" spans="1:1">
      <c r="A8980" s="22"/>
    </row>
    <row r="8981" spans="1:1">
      <c r="A8981" s="22"/>
    </row>
    <row r="8982" spans="1:1">
      <c r="A8982" s="22"/>
    </row>
    <row r="8983" spans="1:1">
      <c r="A8983" s="22"/>
    </row>
    <row r="8984" spans="1:1">
      <c r="A8984" s="22"/>
    </row>
    <row r="8985" spans="1:1">
      <c r="A8985" s="22"/>
    </row>
    <row r="8986" spans="1:1">
      <c r="A8986" s="22"/>
    </row>
    <row r="8987" spans="1:1">
      <c r="A8987" s="22"/>
    </row>
    <row r="8988" spans="1:1">
      <c r="A8988" s="22"/>
    </row>
    <row r="8989" spans="1:1">
      <c r="A8989" s="22"/>
    </row>
    <row r="8990" spans="1:1">
      <c r="A8990" s="22"/>
    </row>
    <row r="8991" spans="1:1">
      <c r="A8991" s="22"/>
    </row>
    <row r="8992" spans="1:1">
      <c r="A8992" s="22"/>
    </row>
    <row r="8993" spans="1:1">
      <c r="A8993" s="22"/>
    </row>
    <row r="8994" spans="1:1">
      <c r="A8994" s="22"/>
    </row>
    <row r="8995" spans="1:1">
      <c r="A8995" s="22"/>
    </row>
    <row r="8996" spans="1:1">
      <c r="A8996" s="22"/>
    </row>
    <row r="8997" spans="1:1">
      <c r="A8997" s="22"/>
    </row>
    <row r="8998" spans="1:1">
      <c r="A8998" s="22"/>
    </row>
    <row r="8999" spans="1:1">
      <c r="A8999" s="22"/>
    </row>
    <row r="9000" spans="1:1">
      <c r="A9000" s="22"/>
    </row>
    <row r="9001" spans="1:1">
      <c r="A9001" s="22"/>
    </row>
    <row r="9002" spans="1:1">
      <c r="A9002" s="22"/>
    </row>
    <row r="9003" spans="1:1">
      <c r="A9003" s="22"/>
    </row>
    <row r="9004" spans="1:1">
      <c r="A9004" s="22"/>
    </row>
    <row r="9005" spans="1:1">
      <c r="A9005" s="22"/>
    </row>
    <row r="9006" spans="1:1">
      <c r="A9006" s="22"/>
    </row>
    <row r="9007" spans="1:1">
      <c r="A9007" s="22"/>
    </row>
    <row r="9008" spans="1:1">
      <c r="A9008" s="22"/>
    </row>
    <row r="9009" spans="1:1">
      <c r="A9009" s="22"/>
    </row>
    <row r="9010" spans="1:1">
      <c r="A9010" s="22"/>
    </row>
    <row r="9011" spans="1:1">
      <c r="A9011" s="22"/>
    </row>
    <row r="9012" spans="1:1">
      <c r="A9012" s="22"/>
    </row>
    <row r="9013" spans="1:1">
      <c r="A9013" s="22"/>
    </row>
    <row r="9014" spans="1:1">
      <c r="A9014" s="22"/>
    </row>
    <row r="9015" spans="1:1">
      <c r="A9015" s="22"/>
    </row>
    <row r="9016" spans="1:1">
      <c r="A9016" s="22"/>
    </row>
    <row r="9017" spans="1:1">
      <c r="A9017" s="22"/>
    </row>
    <row r="9018" spans="1:1">
      <c r="A9018" s="22"/>
    </row>
    <row r="9019" spans="1:1">
      <c r="A9019" s="22"/>
    </row>
    <row r="9020" spans="1:1">
      <c r="A9020" s="22"/>
    </row>
    <row r="9021" spans="1:1">
      <c r="A9021" s="22"/>
    </row>
    <row r="9022" spans="1:1">
      <c r="A9022" s="22"/>
    </row>
    <row r="9023" spans="1:1">
      <c r="A9023" s="22"/>
    </row>
    <row r="9024" spans="1:1">
      <c r="A9024" s="22"/>
    </row>
    <row r="9025" spans="1:1">
      <c r="A9025" s="22"/>
    </row>
    <row r="9026" spans="1:1">
      <c r="A9026" s="22"/>
    </row>
    <row r="9027" spans="1:1">
      <c r="A9027" s="22"/>
    </row>
    <row r="9028" spans="1:1">
      <c r="A9028" s="22"/>
    </row>
    <row r="9029" spans="1:1">
      <c r="A9029" s="22"/>
    </row>
    <row r="9030" spans="1:1">
      <c r="A9030" s="22"/>
    </row>
    <row r="9031" spans="1:1">
      <c r="A9031" s="22"/>
    </row>
    <row r="9032" spans="1:1">
      <c r="A9032" s="22"/>
    </row>
    <row r="9033" spans="1:1">
      <c r="A9033" s="22"/>
    </row>
    <row r="9034" spans="1:1">
      <c r="A9034" s="22"/>
    </row>
    <row r="9035" spans="1:1">
      <c r="A9035" s="22"/>
    </row>
    <row r="9036" spans="1:1">
      <c r="A9036" s="22"/>
    </row>
    <row r="9037" spans="1:1">
      <c r="A9037" s="22"/>
    </row>
    <row r="9038" spans="1:1">
      <c r="A9038" s="22"/>
    </row>
    <row r="9039" spans="1:1">
      <c r="A9039" s="22"/>
    </row>
    <row r="9040" spans="1:1">
      <c r="A9040" s="22"/>
    </row>
    <row r="9041" spans="1:1">
      <c r="A9041" s="22"/>
    </row>
    <row r="9042" spans="1:1">
      <c r="A9042" s="22"/>
    </row>
    <row r="9043" spans="1:1">
      <c r="A9043" s="22"/>
    </row>
    <row r="9044" spans="1:1">
      <c r="A9044" s="22"/>
    </row>
    <row r="9045" spans="1:1">
      <c r="A9045" s="22"/>
    </row>
    <row r="9046" spans="1:1">
      <c r="A9046" s="22"/>
    </row>
    <row r="9047" spans="1:1">
      <c r="A9047" s="22"/>
    </row>
    <row r="9048" spans="1:1">
      <c r="A9048" s="22"/>
    </row>
    <row r="9049" spans="1:1">
      <c r="A9049" s="22"/>
    </row>
    <row r="9050" spans="1:1">
      <c r="A9050" s="22"/>
    </row>
    <row r="9051" spans="1:1">
      <c r="A9051" s="22"/>
    </row>
    <row r="9052" spans="1:1">
      <c r="A9052" s="22"/>
    </row>
    <row r="9053" spans="1:1">
      <c r="A9053" s="22"/>
    </row>
    <row r="9054" spans="1:1">
      <c r="A9054" s="22"/>
    </row>
    <row r="9055" spans="1:1">
      <c r="A9055" s="22"/>
    </row>
    <row r="9056" spans="1:1">
      <c r="A9056" s="22"/>
    </row>
    <row r="9057" spans="1:1">
      <c r="A9057" s="22"/>
    </row>
    <row r="9058" spans="1:1">
      <c r="A9058" s="22"/>
    </row>
    <row r="9059" spans="1:1">
      <c r="A9059" s="22"/>
    </row>
    <row r="9060" spans="1:1">
      <c r="A9060" s="22"/>
    </row>
    <row r="9061" spans="1:1">
      <c r="A9061" s="22"/>
    </row>
    <row r="9062" spans="1:1">
      <c r="A9062" s="22"/>
    </row>
    <row r="9063" spans="1:1">
      <c r="A9063" s="22"/>
    </row>
    <row r="9064" spans="1:1">
      <c r="A9064" s="22"/>
    </row>
    <row r="9065" spans="1:1">
      <c r="A9065" s="22"/>
    </row>
    <row r="9066" spans="1:1">
      <c r="A9066" s="22"/>
    </row>
    <row r="9067" spans="1:1">
      <c r="A9067" s="22"/>
    </row>
    <row r="9068" spans="1:1">
      <c r="A9068" s="22"/>
    </row>
    <row r="9069" spans="1:1">
      <c r="A9069" s="22"/>
    </row>
    <row r="9070" spans="1:1">
      <c r="A9070" s="22"/>
    </row>
    <row r="9071" spans="1:1">
      <c r="A9071" s="22"/>
    </row>
    <row r="9072" spans="1:1">
      <c r="A9072" s="22"/>
    </row>
    <row r="9073" spans="1:1">
      <c r="A9073" s="22"/>
    </row>
    <row r="9074" spans="1:1">
      <c r="A9074" s="22"/>
    </row>
    <row r="9075" spans="1:1">
      <c r="A9075" s="22"/>
    </row>
    <row r="9076" spans="1:1">
      <c r="A9076" s="22"/>
    </row>
    <row r="9077" spans="1:1">
      <c r="A9077" s="22"/>
    </row>
    <row r="9078" spans="1:1">
      <c r="A9078" s="22"/>
    </row>
    <row r="9079" spans="1:1">
      <c r="A9079" s="22"/>
    </row>
    <row r="9080" spans="1:1">
      <c r="A9080" s="22"/>
    </row>
    <row r="9081" spans="1:1">
      <c r="A9081" s="22"/>
    </row>
    <row r="9082" spans="1:1">
      <c r="A9082" s="22"/>
    </row>
    <row r="9083" spans="1:1">
      <c r="A9083" s="22"/>
    </row>
    <row r="9084" spans="1:1">
      <c r="A9084" s="22"/>
    </row>
    <row r="9085" spans="1:1">
      <c r="A9085" s="22"/>
    </row>
    <row r="9086" spans="1:1">
      <c r="A9086" s="22"/>
    </row>
    <row r="9087" spans="1:1">
      <c r="A9087" s="22"/>
    </row>
    <row r="9088" spans="1:1">
      <c r="A9088" s="22"/>
    </row>
    <row r="9089" spans="1:1">
      <c r="A9089" s="22"/>
    </row>
    <row r="9090" spans="1:1">
      <c r="A9090" s="22"/>
    </row>
    <row r="9091" spans="1:1">
      <c r="A9091" s="22"/>
    </row>
    <row r="9092" spans="1:1">
      <c r="A9092" s="22"/>
    </row>
    <row r="9093" spans="1:1">
      <c r="A9093" s="22"/>
    </row>
    <row r="9094" spans="1:1">
      <c r="A9094" s="22"/>
    </row>
    <row r="9095" spans="1:1">
      <c r="A9095" s="22"/>
    </row>
    <row r="9096" spans="1:1">
      <c r="A9096" s="22"/>
    </row>
    <row r="9097" spans="1:1">
      <c r="A9097" s="22"/>
    </row>
    <row r="9098" spans="1:1">
      <c r="A9098" s="22"/>
    </row>
    <row r="9099" spans="1:1">
      <c r="A9099" s="22"/>
    </row>
    <row r="9100" spans="1:1">
      <c r="A9100" s="22"/>
    </row>
    <row r="9101" spans="1:1">
      <c r="A9101" s="22"/>
    </row>
    <row r="9102" spans="1:1">
      <c r="A9102" s="22"/>
    </row>
    <row r="9103" spans="1:1">
      <c r="A9103" s="22"/>
    </row>
    <row r="9104" spans="1:1">
      <c r="A9104" s="22"/>
    </row>
    <row r="9105" spans="1:1">
      <c r="A9105" s="22"/>
    </row>
    <row r="9106" spans="1:1">
      <c r="A9106" s="22"/>
    </row>
    <row r="9107" spans="1:1">
      <c r="A9107" s="22"/>
    </row>
    <row r="9108" spans="1:1">
      <c r="A9108" s="22"/>
    </row>
    <row r="9109" spans="1:1">
      <c r="A9109" s="22"/>
    </row>
    <row r="9110" spans="1:1">
      <c r="A9110" s="22"/>
    </row>
    <row r="9111" spans="1:1">
      <c r="A9111" s="22"/>
    </row>
    <row r="9112" spans="1:1">
      <c r="A9112" s="22"/>
    </row>
    <row r="9113" spans="1:1">
      <c r="A9113" s="22"/>
    </row>
    <row r="9114" spans="1:1">
      <c r="A9114" s="22"/>
    </row>
    <row r="9115" spans="1:1">
      <c r="A9115" s="22"/>
    </row>
    <row r="9116" spans="1:1">
      <c r="A9116" s="22"/>
    </row>
    <row r="9117" spans="1:1">
      <c r="A9117" s="22"/>
    </row>
    <row r="9118" spans="1:1">
      <c r="A9118" s="22"/>
    </row>
    <row r="9119" spans="1:1">
      <c r="A9119" s="22"/>
    </row>
    <row r="9120" spans="1:1">
      <c r="A9120" s="22"/>
    </row>
    <row r="9121" spans="1:1">
      <c r="A9121" s="22"/>
    </row>
    <row r="9122" spans="1:1">
      <c r="A9122" s="22"/>
    </row>
    <row r="9123" spans="1:1">
      <c r="A9123" s="22"/>
    </row>
    <row r="9124" spans="1:1">
      <c r="A9124" s="22"/>
    </row>
    <row r="9125" spans="1:1">
      <c r="A9125" s="22"/>
    </row>
    <row r="9126" spans="1:1">
      <c r="A9126" s="22"/>
    </row>
    <row r="9127" spans="1:1">
      <c r="A9127" s="22"/>
    </row>
    <row r="9128" spans="1:1">
      <c r="A9128" s="22"/>
    </row>
    <row r="9129" spans="1:1">
      <c r="A9129" s="22"/>
    </row>
    <row r="9130" spans="1:1">
      <c r="A9130" s="22"/>
    </row>
    <row r="9131" spans="1:1">
      <c r="A9131" s="22"/>
    </row>
    <row r="9132" spans="1:1">
      <c r="A9132" s="22"/>
    </row>
    <row r="9133" spans="1:1">
      <c r="A9133" s="22"/>
    </row>
    <row r="9134" spans="1:1">
      <c r="A9134" s="22"/>
    </row>
    <row r="9135" spans="1:1">
      <c r="A9135" s="22"/>
    </row>
    <row r="9136" spans="1:1">
      <c r="A9136" s="22"/>
    </row>
    <row r="9137" spans="1:1">
      <c r="A9137" s="22"/>
    </row>
    <row r="9138" spans="1:1">
      <c r="A9138" s="22"/>
    </row>
    <row r="9139" spans="1:1">
      <c r="A9139" s="22"/>
    </row>
    <row r="9140" spans="1:1">
      <c r="A9140" s="22"/>
    </row>
    <row r="9141" spans="1:1">
      <c r="A9141" s="22"/>
    </row>
    <row r="9142" spans="1:1">
      <c r="A9142" s="22"/>
    </row>
    <row r="9143" spans="1:1">
      <c r="A9143" s="22"/>
    </row>
    <row r="9144" spans="1:1">
      <c r="A9144" s="22"/>
    </row>
    <row r="9145" spans="1:1">
      <c r="A9145" s="22"/>
    </row>
    <row r="9146" spans="1:1">
      <c r="A9146" s="22"/>
    </row>
    <row r="9147" spans="1:1">
      <c r="A9147" s="22"/>
    </row>
    <row r="9148" spans="1:1">
      <c r="A9148" s="22"/>
    </row>
    <row r="9149" spans="1:1">
      <c r="A9149" s="22"/>
    </row>
    <row r="9150" spans="1:1">
      <c r="A9150" s="22"/>
    </row>
    <row r="9151" spans="1:1">
      <c r="A9151" s="22"/>
    </row>
    <row r="9152" spans="1:1">
      <c r="A9152" s="22"/>
    </row>
    <row r="9153" spans="1:1">
      <c r="A9153" s="22"/>
    </row>
    <row r="9154" spans="1:1">
      <c r="A9154" s="22"/>
    </row>
    <row r="9155" spans="1:1">
      <c r="A9155" s="22"/>
    </row>
    <row r="9156" spans="1:1">
      <c r="A9156" s="22"/>
    </row>
    <row r="9157" spans="1:1">
      <c r="A9157" s="22"/>
    </row>
    <row r="9158" spans="1:1">
      <c r="A9158" s="22"/>
    </row>
    <row r="9159" spans="1:1">
      <c r="A9159" s="22"/>
    </row>
    <row r="9160" spans="1:1">
      <c r="A9160" s="22"/>
    </row>
    <row r="9161" spans="1:1">
      <c r="A9161" s="22"/>
    </row>
    <row r="9162" spans="1:1">
      <c r="A9162" s="22"/>
    </row>
    <row r="9163" spans="1:1">
      <c r="A9163" s="22"/>
    </row>
    <row r="9164" spans="1:1">
      <c r="A9164" s="22"/>
    </row>
    <row r="9165" spans="1:1">
      <c r="A9165" s="22"/>
    </row>
    <row r="9166" spans="1:1">
      <c r="A9166" s="22"/>
    </row>
    <row r="9167" spans="1:1">
      <c r="A9167" s="22"/>
    </row>
    <row r="9168" spans="1:1">
      <c r="A9168" s="22"/>
    </row>
    <row r="9169" spans="1:1">
      <c r="A9169" s="22"/>
    </row>
    <row r="9170" spans="1:1">
      <c r="A9170" s="22"/>
    </row>
    <row r="9171" spans="1:1">
      <c r="A9171" s="22"/>
    </row>
    <row r="9172" spans="1:1">
      <c r="A9172" s="22"/>
    </row>
    <row r="9173" spans="1:1">
      <c r="A9173" s="22"/>
    </row>
    <row r="9174" spans="1:1">
      <c r="A9174" s="22"/>
    </row>
    <row r="9175" spans="1:1">
      <c r="A9175" s="22"/>
    </row>
    <row r="9176" spans="1:1">
      <c r="A9176" s="22"/>
    </row>
    <row r="9177" spans="1:1">
      <c r="A9177" s="22"/>
    </row>
    <row r="9178" spans="1:1">
      <c r="A9178" s="22"/>
    </row>
    <row r="9179" spans="1:1">
      <c r="A9179" s="22"/>
    </row>
    <row r="9180" spans="1:1">
      <c r="A9180" s="22"/>
    </row>
    <row r="9181" spans="1:1">
      <c r="A9181" s="22"/>
    </row>
    <row r="9182" spans="1:1">
      <c r="A9182" s="22"/>
    </row>
    <row r="9183" spans="1:1">
      <c r="A9183" s="22"/>
    </row>
    <row r="9184" spans="1:1">
      <c r="A9184" s="22"/>
    </row>
    <row r="9185" spans="1:1">
      <c r="A9185" s="22"/>
    </row>
    <row r="9186" spans="1:1">
      <c r="A9186" s="22"/>
    </row>
    <row r="9187" spans="1:1">
      <c r="A9187" s="22"/>
    </row>
    <row r="9188" spans="1:1">
      <c r="A9188" s="22"/>
    </row>
    <row r="9189" spans="1:1">
      <c r="A9189" s="22"/>
    </row>
    <row r="9190" spans="1:1">
      <c r="A9190" s="22"/>
    </row>
    <row r="9191" spans="1:1">
      <c r="A9191" s="22"/>
    </row>
    <row r="9192" spans="1:1">
      <c r="A9192" s="22"/>
    </row>
    <row r="9193" spans="1:1">
      <c r="A9193" s="22"/>
    </row>
    <row r="9194" spans="1:1">
      <c r="A9194" s="22"/>
    </row>
    <row r="9195" spans="1:1">
      <c r="A9195" s="22"/>
    </row>
    <row r="9196" spans="1:1">
      <c r="A9196" s="22"/>
    </row>
    <row r="9197" spans="1:1">
      <c r="A9197" s="22"/>
    </row>
    <row r="9198" spans="1:1">
      <c r="A9198" s="22"/>
    </row>
    <row r="9199" spans="1:1">
      <c r="A9199" s="22"/>
    </row>
    <row r="9200" spans="1:1">
      <c r="A9200" s="22"/>
    </row>
    <row r="9201" spans="1:1">
      <c r="A9201" s="22"/>
    </row>
    <row r="9202" spans="1:1">
      <c r="A9202" s="22"/>
    </row>
    <row r="9203" spans="1:1">
      <c r="A9203" s="22"/>
    </row>
    <row r="9204" spans="1:1">
      <c r="A9204" s="22"/>
    </row>
    <row r="9205" spans="1:1">
      <c r="A9205" s="22"/>
    </row>
    <row r="9206" spans="1:1">
      <c r="A9206" s="22"/>
    </row>
    <row r="9207" spans="1:1">
      <c r="A9207" s="22"/>
    </row>
    <row r="9208" spans="1:1">
      <c r="A9208" s="22"/>
    </row>
    <row r="9209" spans="1:1">
      <c r="A9209" s="22"/>
    </row>
    <row r="9210" spans="1:1">
      <c r="A9210" s="22"/>
    </row>
    <row r="9211" spans="1:1">
      <c r="A9211" s="22"/>
    </row>
    <row r="9212" spans="1:1">
      <c r="A9212" s="22"/>
    </row>
    <row r="9213" spans="1:1">
      <c r="A9213" s="22"/>
    </row>
    <row r="9214" spans="1:1">
      <c r="A9214" s="22"/>
    </row>
    <row r="9215" spans="1:1">
      <c r="A9215" s="22"/>
    </row>
    <row r="9216" spans="1:1">
      <c r="A9216" s="22"/>
    </row>
    <row r="9217" spans="1:1">
      <c r="A9217" s="22"/>
    </row>
    <row r="9218" spans="1:1">
      <c r="A9218" s="22"/>
    </row>
    <row r="9219" spans="1:1">
      <c r="A9219" s="22"/>
    </row>
    <row r="9220" spans="1:1">
      <c r="A9220" s="22"/>
    </row>
    <row r="9221" spans="1:1">
      <c r="A9221" s="22"/>
    </row>
    <row r="9222" spans="1:1">
      <c r="A9222" s="22"/>
    </row>
    <row r="9223" spans="1:1">
      <c r="A9223" s="22"/>
    </row>
    <row r="9224" spans="1:1">
      <c r="A9224" s="22"/>
    </row>
    <row r="9225" spans="1:1">
      <c r="A9225" s="22"/>
    </row>
    <row r="9226" spans="1:1">
      <c r="A9226" s="22"/>
    </row>
    <row r="9227" spans="1:1">
      <c r="A9227" s="22"/>
    </row>
    <row r="9228" spans="1:1">
      <c r="A9228" s="22"/>
    </row>
    <row r="9229" spans="1:1">
      <c r="A9229" s="22"/>
    </row>
    <row r="9230" spans="1:1">
      <c r="A9230" s="22"/>
    </row>
    <row r="9231" spans="1:1">
      <c r="A9231" s="22"/>
    </row>
    <row r="9232" spans="1:1">
      <c r="A9232" s="22"/>
    </row>
    <row r="9233" spans="1:1">
      <c r="A9233" s="22"/>
    </row>
    <row r="9234" spans="1:1">
      <c r="A9234" s="22"/>
    </row>
    <row r="9235" spans="1:1">
      <c r="A9235" s="22"/>
    </row>
    <row r="9236" spans="1:1">
      <c r="A9236" s="22"/>
    </row>
    <row r="9237" spans="1:1">
      <c r="A9237" s="22"/>
    </row>
    <row r="9238" spans="1:1">
      <c r="A9238" s="22"/>
    </row>
    <row r="9239" spans="1:1">
      <c r="A9239" s="22"/>
    </row>
    <row r="9240" spans="1:1">
      <c r="A9240" s="22"/>
    </row>
    <row r="9241" spans="1:1">
      <c r="A9241" s="22"/>
    </row>
    <row r="9242" spans="1:1">
      <c r="A9242" s="22"/>
    </row>
    <row r="9243" spans="1:1">
      <c r="A9243" s="22"/>
    </row>
    <row r="9244" spans="1:1">
      <c r="A9244" s="22"/>
    </row>
    <row r="9245" spans="1:1">
      <c r="A9245" s="22"/>
    </row>
    <row r="9246" spans="1:1">
      <c r="A9246" s="22"/>
    </row>
    <row r="9247" spans="1:1">
      <c r="A9247" s="22"/>
    </row>
    <row r="9248" spans="1:1">
      <c r="A9248" s="22"/>
    </row>
    <row r="9249" spans="1:1">
      <c r="A9249" s="22"/>
    </row>
    <row r="9250" spans="1:1">
      <c r="A9250" s="22"/>
    </row>
    <row r="9251" spans="1:1">
      <c r="A9251" s="22"/>
    </row>
    <row r="9252" spans="1:1">
      <c r="A9252" s="22"/>
    </row>
    <row r="9253" spans="1:1">
      <c r="A9253" s="22"/>
    </row>
    <row r="9254" spans="1:1">
      <c r="A9254" s="22"/>
    </row>
    <row r="9255" spans="1:1">
      <c r="A9255" s="22"/>
    </row>
    <row r="9256" spans="1:1">
      <c r="A9256" s="22"/>
    </row>
    <row r="9257" spans="1:1">
      <c r="A9257" s="22"/>
    </row>
    <row r="9258" spans="1:1">
      <c r="A9258" s="22"/>
    </row>
    <row r="9259" spans="1:1">
      <c r="A9259" s="22"/>
    </row>
    <row r="9260" spans="1:1">
      <c r="A9260" s="22"/>
    </row>
    <row r="9261" spans="1:1">
      <c r="A9261" s="22"/>
    </row>
    <row r="9262" spans="1:1">
      <c r="A9262" s="22"/>
    </row>
    <row r="9263" spans="1:1">
      <c r="A9263" s="22"/>
    </row>
    <row r="9264" spans="1:1">
      <c r="A9264" s="22"/>
    </row>
    <row r="9265" spans="1:1">
      <c r="A9265" s="22"/>
    </row>
    <row r="9266" spans="1:1">
      <c r="A9266" s="22"/>
    </row>
    <row r="9267" spans="1:1">
      <c r="A9267" s="22"/>
    </row>
    <row r="9268" spans="1:1">
      <c r="A9268" s="22"/>
    </row>
    <row r="9269" spans="1:1">
      <c r="A9269" s="22"/>
    </row>
    <row r="9270" spans="1:1">
      <c r="A9270" s="22"/>
    </row>
    <row r="9271" spans="1:1">
      <c r="A9271" s="22"/>
    </row>
    <row r="9272" spans="1:1">
      <c r="A9272" s="22"/>
    </row>
    <row r="9273" spans="1:1">
      <c r="A9273" s="22"/>
    </row>
    <row r="9274" spans="1:1">
      <c r="A9274" s="22"/>
    </row>
    <row r="9275" spans="1:1">
      <c r="A9275" s="22"/>
    </row>
    <row r="9276" spans="1:1">
      <c r="A9276" s="22"/>
    </row>
    <row r="9277" spans="1:1">
      <c r="A9277" s="22"/>
    </row>
    <row r="9278" spans="1:1">
      <c r="A9278" s="22"/>
    </row>
    <row r="9279" spans="1:1">
      <c r="A9279" s="22"/>
    </row>
    <row r="9280" spans="1:1">
      <c r="A9280" s="22"/>
    </row>
    <row r="9281" spans="1:1">
      <c r="A9281" s="22"/>
    </row>
    <row r="9282" spans="1:1">
      <c r="A9282" s="22"/>
    </row>
    <row r="9283" spans="1:1">
      <c r="A9283" s="22"/>
    </row>
    <row r="9284" spans="1:1">
      <c r="A9284" s="22"/>
    </row>
    <row r="9285" spans="1:1">
      <c r="A9285" s="22"/>
    </row>
    <row r="9286" spans="1:1">
      <c r="A9286" s="22"/>
    </row>
    <row r="9287" spans="1:1">
      <c r="A9287" s="22"/>
    </row>
    <row r="9288" spans="1:1">
      <c r="A9288" s="22"/>
    </row>
    <row r="9289" spans="1:1">
      <c r="A9289" s="22"/>
    </row>
    <row r="9290" spans="1:1">
      <c r="A9290" s="22"/>
    </row>
    <row r="9291" spans="1:1">
      <c r="A9291" s="22"/>
    </row>
    <row r="9292" spans="1:1">
      <c r="A9292" s="22"/>
    </row>
    <row r="9293" spans="1:1">
      <c r="A9293" s="22"/>
    </row>
    <row r="9294" spans="1:1">
      <c r="A9294" s="22"/>
    </row>
    <row r="9295" spans="1:1">
      <c r="A9295" s="22"/>
    </row>
    <row r="9296" spans="1:1">
      <c r="A9296" s="22"/>
    </row>
    <row r="9297" spans="1:1">
      <c r="A9297" s="22"/>
    </row>
    <row r="9298" spans="1:1">
      <c r="A9298" s="22"/>
    </row>
    <row r="9299" spans="1:1">
      <c r="A9299" s="22"/>
    </row>
    <row r="9300" spans="1:1">
      <c r="A9300" s="22"/>
    </row>
    <row r="9301" spans="1:1">
      <c r="A9301" s="22"/>
    </row>
    <row r="9302" spans="1:1">
      <c r="A9302" s="22"/>
    </row>
    <row r="9303" spans="1:1">
      <c r="A9303" s="22"/>
    </row>
    <row r="9304" spans="1:1">
      <c r="A9304" s="22"/>
    </row>
    <row r="9305" spans="1:1">
      <c r="A9305" s="22"/>
    </row>
    <row r="9306" spans="1:1">
      <c r="A9306" s="22"/>
    </row>
    <row r="9307" spans="1:1">
      <c r="A9307" s="22"/>
    </row>
    <row r="9308" spans="1:1">
      <c r="A9308" s="22"/>
    </row>
    <row r="9309" spans="1:1">
      <c r="A9309" s="22"/>
    </row>
    <row r="9310" spans="1:1">
      <c r="A9310" s="22"/>
    </row>
    <row r="9311" spans="1:1">
      <c r="A9311" s="22"/>
    </row>
    <row r="9312" spans="1:1">
      <c r="A9312" s="22"/>
    </row>
    <row r="9313" spans="1:1">
      <c r="A9313" s="22"/>
    </row>
    <row r="9314" spans="1:1">
      <c r="A9314" s="22"/>
    </row>
    <row r="9315" spans="1:1">
      <c r="A9315" s="22"/>
    </row>
    <row r="9316" spans="1:1">
      <c r="A9316" s="22"/>
    </row>
    <row r="9317" spans="1:1">
      <c r="A9317" s="22"/>
    </row>
    <row r="9318" spans="1:1">
      <c r="A9318" s="22"/>
    </row>
    <row r="9319" spans="1:1">
      <c r="A9319" s="22"/>
    </row>
    <row r="9320" spans="1:1">
      <c r="A9320" s="22"/>
    </row>
    <row r="9321" spans="1:1">
      <c r="A9321" s="22"/>
    </row>
    <row r="9322" spans="1:1">
      <c r="A9322" s="22"/>
    </row>
    <row r="9323" spans="1:1">
      <c r="A9323" s="22"/>
    </row>
    <row r="9324" spans="1:1">
      <c r="A9324" s="22"/>
    </row>
    <row r="9325" spans="1:1">
      <c r="A9325" s="22"/>
    </row>
    <row r="9326" spans="1:1">
      <c r="A9326" s="22"/>
    </row>
    <row r="9327" spans="1:1">
      <c r="A9327" s="22"/>
    </row>
    <row r="9328" spans="1:1">
      <c r="A9328" s="22"/>
    </row>
    <row r="9329" spans="1:1">
      <c r="A9329" s="22"/>
    </row>
    <row r="9330" spans="1:1">
      <c r="A9330" s="22"/>
    </row>
    <row r="9331" spans="1:1">
      <c r="A9331" s="22"/>
    </row>
    <row r="9332" spans="1:1">
      <c r="A9332" s="22"/>
    </row>
    <row r="9333" spans="1:1">
      <c r="A9333" s="22"/>
    </row>
    <row r="9334" spans="1:1">
      <c r="A9334" s="22"/>
    </row>
    <row r="9335" spans="1:1">
      <c r="A9335" s="22"/>
    </row>
    <row r="9336" spans="1:1">
      <c r="A9336" s="22"/>
    </row>
    <row r="9337" spans="1:1">
      <c r="A9337" s="22"/>
    </row>
    <row r="9338" spans="1:1">
      <c r="A9338" s="22"/>
    </row>
    <row r="9339" spans="1:1">
      <c r="A9339" s="22"/>
    </row>
    <row r="9340" spans="1:1">
      <c r="A9340" s="22"/>
    </row>
    <row r="9341" spans="1:1">
      <c r="A9341" s="22"/>
    </row>
    <row r="9342" spans="1:1">
      <c r="A9342" s="22"/>
    </row>
    <row r="9343" spans="1:1">
      <c r="A9343" s="22"/>
    </row>
    <row r="9344" spans="1:1">
      <c r="A9344" s="22"/>
    </row>
    <row r="9345" spans="1:1">
      <c r="A9345" s="22"/>
    </row>
    <row r="9346" spans="1:1">
      <c r="A9346" s="22"/>
    </row>
    <row r="9347" spans="1:1">
      <c r="A9347" s="22"/>
    </row>
    <row r="9348" spans="1:1">
      <c r="A9348" s="22"/>
    </row>
    <row r="9349" spans="1:1">
      <c r="A9349" s="22"/>
    </row>
    <row r="9350" spans="1:1">
      <c r="A9350" s="22"/>
    </row>
    <row r="9351" spans="1:1">
      <c r="A9351" s="22"/>
    </row>
    <row r="9352" spans="1:1">
      <c r="A9352" s="22"/>
    </row>
    <row r="9353" spans="1:1">
      <c r="A9353" s="22"/>
    </row>
    <row r="9354" spans="1:1">
      <c r="A9354" s="22"/>
    </row>
    <row r="9355" spans="1:1">
      <c r="A9355" s="22"/>
    </row>
    <row r="9356" spans="1:1">
      <c r="A9356" s="22"/>
    </row>
    <row r="9357" spans="1:1">
      <c r="A9357" s="22"/>
    </row>
    <row r="9358" spans="1:1">
      <c r="A9358" s="22"/>
    </row>
    <row r="9359" spans="1:1">
      <c r="A9359" s="22"/>
    </row>
    <row r="9360" spans="1:1">
      <c r="A9360" s="22"/>
    </row>
    <row r="9361" spans="1:1">
      <c r="A9361" s="22"/>
    </row>
    <row r="9362" spans="1:1">
      <c r="A9362" s="22"/>
    </row>
    <row r="9363" spans="1:1">
      <c r="A9363" s="22"/>
    </row>
    <row r="9364" spans="1:1">
      <c r="A9364" s="22"/>
    </row>
    <row r="9365" spans="1:1">
      <c r="A9365" s="22"/>
    </row>
    <row r="9366" spans="1:1">
      <c r="A9366" s="22"/>
    </row>
    <row r="9367" spans="1:1">
      <c r="A9367" s="22"/>
    </row>
    <row r="9368" spans="1:1">
      <c r="A9368" s="22"/>
    </row>
    <row r="9369" spans="1:1">
      <c r="A9369" s="22"/>
    </row>
    <row r="9370" spans="1:1">
      <c r="A9370" s="22"/>
    </row>
    <row r="9371" spans="1:1">
      <c r="A9371" s="22"/>
    </row>
    <row r="9372" spans="1:1">
      <c r="A9372" s="22"/>
    </row>
    <row r="9373" spans="1:1">
      <c r="A9373" s="22"/>
    </row>
    <row r="9374" spans="1:1">
      <c r="A9374" s="22"/>
    </row>
    <row r="9375" spans="1:1">
      <c r="A9375" s="22"/>
    </row>
    <row r="9376" spans="1:1">
      <c r="A9376" s="22"/>
    </row>
    <row r="9377" spans="1:1">
      <c r="A9377" s="22"/>
    </row>
    <row r="9378" spans="1:1">
      <c r="A9378" s="22"/>
    </row>
    <row r="9379" spans="1:1">
      <c r="A9379" s="22"/>
    </row>
    <row r="9380" spans="1:1">
      <c r="A9380" s="22"/>
    </row>
    <row r="9381" spans="1:1">
      <c r="A9381" s="22"/>
    </row>
    <row r="9382" spans="1:1">
      <c r="A9382" s="22"/>
    </row>
    <row r="9383" spans="1:1">
      <c r="A9383" s="22"/>
    </row>
    <row r="9384" spans="1:1">
      <c r="A9384" s="22"/>
    </row>
    <row r="9385" spans="1:1">
      <c r="A9385" s="22"/>
    </row>
    <row r="9386" spans="1:1">
      <c r="A9386" s="22"/>
    </row>
    <row r="9387" spans="1:1">
      <c r="A9387" s="22"/>
    </row>
    <row r="9388" spans="1:1">
      <c r="A9388" s="22"/>
    </row>
    <row r="9389" spans="1:1">
      <c r="A9389" s="22"/>
    </row>
    <row r="9390" spans="1:1">
      <c r="A9390" s="22"/>
    </row>
    <row r="9391" spans="1:1">
      <c r="A9391" s="22"/>
    </row>
    <row r="9392" spans="1:1">
      <c r="A9392" s="22"/>
    </row>
    <row r="9393" spans="1:1">
      <c r="A9393" s="22"/>
    </row>
    <row r="9394" spans="1:1">
      <c r="A9394" s="22"/>
    </row>
    <row r="9395" spans="1:1">
      <c r="A9395" s="22"/>
    </row>
    <row r="9396" spans="1:1">
      <c r="A9396" s="22"/>
    </row>
    <row r="9397" spans="1:1">
      <c r="A9397" s="22"/>
    </row>
    <row r="9398" spans="1:1">
      <c r="A9398" s="22"/>
    </row>
    <row r="9399" spans="1:1">
      <c r="A9399" s="22"/>
    </row>
    <row r="9400" spans="1:1">
      <c r="A9400" s="22"/>
    </row>
    <row r="9401" spans="1:1">
      <c r="A9401" s="22"/>
    </row>
    <row r="9402" spans="1:1">
      <c r="A9402" s="22"/>
    </row>
    <row r="9403" spans="1:1">
      <c r="A9403" s="22"/>
    </row>
    <row r="9404" spans="1:1">
      <c r="A9404" s="22"/>
    </row>
    <row r="9405" spans="1:1">
      <c r="A9405" s="22"/>
    </row>
    <row r="9406" spans="1:1">
      <c r="A9406" s="22"/>
    </row>
    <row r="9407" spans="1:1">
      <c r="A9407" s="22"/>
    </row>
    <row r="9408" spans="1:1">
      <c r="A9408" s="22"/>
    </row>
    <row r="9409" spans="1:1">
      <c r="A9409" s="22"/>
    </row>
    <row r="9410" spans="1:1">
      <c r="A9410" s="22"/>
    </row>
    <row r="9411" spans="1:1">
      <c r="A9411" s="22"/>
    </row>
    <row r="9412" spans="1:1">
      <c r="A9412" s="22"/>
    </row>
    <row r="9413" spans="1:1">
      <c r="A9413" s="22"/>
    </row>
    <row r="9414" spans="1:1">
      <c r="A9414" s="22"/>
    </row>
    <row r="9415" spans="1:1">
      <c r="A9415" s="22"/>
    </row>
    <row r="9416" spans="1:1">
      <c r="A9416" s="22"/>
    </row>
    <row r="9417" spans="1:1">
      <c r="A9417" s="22"/>
    </row>
    <row r="9418" spans="1:1">
      <c r="A9418" s="22"/>
    </row>
    <row r="9419" spans="1:1">
      <c r="A9419" s="22"/>
    </row>
    <row r="9420" spans="1:1">
      <c r="A9420" s="22"/>
    </row>
    <row r="9421" spans="1:1">
      <c r="A9421" s="22"/>
    </row>
    <row r="9422" spans="1:1">
      <c r="A9422" s="22"/>
    </row>
    <row r="9423" spans="1:1">
      <c r="A9423" s="22"/>
    </row>
    <row r="9424" spans="1:1">
      <c r="A9424" s="22"/>
    </row>
    <row r="9425" spans="1:1">
      <c r="A9425" s="22"/>
    </row>
    <row r="9426" spans="1:1">
      <c r="A9426" s="22"/>
    </row>
    <row r="9427" spans="1:1">
      <c r="A9427" s="22"/>
    </row>
    <row r="9428" spans="1:1">
      <c r="A9428" s="22"/>
    </row>
    <row r="9429" spans="1:1">
      <c r="A9429" s="22"/>
    </row>
    <row r="9430" spans="1:1">
      <c r="A9430" s="22"/>
    </row>
    <row r="9431" spans="1:1">
      <c r="A9431" s="22"/>
    </row>
    <row r="9432" spans="1:1">
      <c r="A9432" s="22"/>
    </row>
    <row r="9433" spans="1:1">
      <c r="A9433" s="22"/>
    </row>
    <row r="9434" spans="1:1">
      <c r="A9434" s="22"/>
    </row>
    <row r="9435" spans="1:1">
      <c r="A9435" s="22"/>
    </row>
    <row r="9436" spans="1:1">
      <c r="A9436" s="22"/>
    </row>
    <row r="9437" spans="1:1">
      <c r="A9437" s="22"/>
    </row>
    <row r="9438" spans="1:1">
      <c r="A9438" s="22"/>
    </row>
    <row r="9439" spans="1:1">
      <c r="A9439" s="22"/>
    </row>
    <row r="9440" spans="1:1">
      <c r="A9440" s="22"/>
    </row>
    <row r="9441" spans="1:1">
      <c r="A9441" s="22"/>
    </row>
    <row r="9442" spans="1:1">
      <c r="A9442" s="22"/>
    </row>
    <row r="9443" spans="1:1">
      <c r="A9443" s="22"/>
    </row>
    <row r="9444" spans="1:1">
      <c r="A9444" s="22"/>
    </row>
    <row r="9445" spans="1:1">
      <c r="A9445" s="22"/>
    </row>
    <row r="9446" spans="1:1">
      <c r="A9446" s="22"/>
    </row>
    <row r="9447" spans="1:1">
      <c r="A9447" s="22"/>
    </row>
    <row r="9448" spans="1:1">
      <c r="A9448" s="22"/>
    </row>
    <row r="9449" spans="1:1">
      <c r="A9449" s="22"/>
    </row>
    <row r="9450" spans="1:1">
      <c r="A9450" s="22"/>
    </row>
    <row r="9451" spans="1:1">
      <c r="A9451" s="22"/>
    </row>
    <row r="9452" spans="1:1">
      <c r="A9452" s="22"/>
    </row>
    <row r="9453" spans="1:1">
      <c r="A9453" s="22"/>
    </row>
    <row r="9454" spans="1:1">
      <c r="A9454" s="22"/>
    </row>
    <row r="9455" spans="1:1">
      <c r="A9455" s="22"/>
    </row>
    <row r="9456" spans="1:1">
      <c r="A9456" s="22"/>
    </row>
    <row r="9457" spans="1:1">
      <c r="A9457" s="22"/>
    </row>
    <row r="9458" spans="1:1">
      <c r="A9458" s="22"/>
    </row>
    <row r="9459" spans="1:1">
      <c r="A9459" s="22"/>
    </row>
    <row r="9460" spans="1:1">
      <c r="A9460" s="22"/>
    </row>
    <row r="9461" spans="1:1">
      <c r="A9461" s="22"/>
    </row>
    <row r="9462" spans="1:1">
      <c r="A9462" s="22"/>
    </row>
    <row r="9463" spans="1:1">
      <c r="A9463" s="22"/>
    </row>
    <row r="9464" spans="1:1">
      <c r="A9464" s="22"/>
    </row>
    <row r="9465" spans="1:1">
      <c r="A9465" s="22"/>
    </row>
    <row r="9466" spans="1:1">
      <c r="A9466" s="22"/>
    </row>
    <row r="9467" spans="1:1">
      <c r="A9467" s="22"/>
    </row>
    <row r="9468" spans="1:1">
      <c r="A9468" s="22"/>
    </row>
    <row r="9469" spans="1:1">
      <c r="A9469" s="22"/>
    </row>
    <row r="9470" spans="1:1">
      <c r="A9470" s="22"/>
    </row>
    <row r="9471" spans="1:1">
      <c r="A9471" s="22"/>
    </row>
    <row r="9472" spans="1:1">
      <c r="A9472" s="22"/>
    </row>
    <row r="9473" spans="1:1">
      <c r="A9473" s="22"/>
    </row>
    <row r="9474" spans="1:1">
      <c r="A9474" s="22"/>
    </row>
    <row r="9475" spans="1:1">
      <c r="A9475" s="22"/>
    </row>
    <row r="9476" spans="1:1">
      <c r="A9476" s="22"/>
    </row>
    <row r="9477" spans="1:1">
      <c r="A9477" s="22"/>
    </row>
    <row r="9478" spans="1:1">
      <c r="A9478" s="22"/>
    </row>
    <row r="9479" spans="1:1">
      <c r="A9479" s="22"/>
    </row>
    <row r="9480" spans="1:1">
      <c r="A9480" s="22"/>
    </row>
    <row r="9481" spans="1:1">
      <c r="A9481" s="22"/>
    </row>
    <row r="9482" spans="1:1">
      <c r="A9482" s="22"/>
    </row>
    <row r="9483" spans="1:1">
      <c r="A9483" s="22"/>
    </row>
    <row r="9484" spans="1:1">
      <c r="A9484" s="22"/>
    </row>
    <row r="9485" spans="1:1">
      <c r="A9485" s="22"/>
    </row>
    <row r="9486" spans="1:1">
      <c r="A9486" s="22"/>
    </row>
    <row r="9487" spans="1:1">
      <c r="A9487" s="22"/>
    </row>
    <row r="9488" spans="1:1">
      <c r="A9488" s="22"/>
    </row>
    <row r="9489" spans="1:1">
      <c r="A9489" s="22"/>
    </row>
    <row r="9490" spans="1:1">
      <c r="A9490" s="22"/>
    </row>
    <row r="9491" spans="1:1">
      <c r="A9491" s="22"/>
    </row>
    <row r="9492" spans="1:1">
      <c r="A9492" s="22"/>
    </row>
    <row r="9493" spans="1:1">
      <c r="A9493" s="22"/>
    </row>
    <row r="9494" spans="1:1">
      <c r="A9494" s="22"/>
    </row>
    <row r="9495" spans="1:1">
      <c r="A9495" s="22"/>
    </row>
    <row r="9496" spans="1:1">
      <c r="A9496" s="22"/>
    </row>
    <row r="9497" spans="1:1">
      <c r="A9497" s="22"/>
    </row>
    <row r="9498" spans="1:1">
      <c r="A9498" s="22"/>
    </row>
    <row r="9499" spans="1:1">
      <c r="A9499" s="22"/>
    </row>
    <row r="9500" spans="1:1">
      <c r="A9500" s="22"/>
    </row>
    <row r="9501" spans="1:1">
      <c r="A9501" s="22"/>
    </row>
    <row r="9502" spans="1:1">
      <c r="A9502" s="22"/>
    </row>
    <row r="9503" spans="1:1">
      <c r="A9503" s="22"/>
    </row>
    <row r="9504" spans="1:1">
      <c r="A9504" s="22"/>
    </row>
    <row r="9505" spans="1:1">
      <c r="A9505" s="22"/>
    </row>
    <row r="9506" spans="1:1">
      <c r="A9506" s="22"/>
    </row>
    <row r="9507" spans="1:1">
      <c r="A9507" s="22"/>
    </row>
    <row r="9508" spans="1:1">
      <c r="A9508" s="22"/>
    </row>
    <row r="9509" spans="1:1">
      <c r="A9509" s="22"/>
    </row>
    <row r="9510" spans="1:1">
      <c r="A9510" s="22"/>
    </row>
    <row r="9511" spans="1:1">
      <c r="A9511" s="22"/>
    </row>
    <row r="9512" spans="1:1">
      <c r="A9512" s="22"/>
    </row>
    <row r="9513" spans="1:1">
      <c r="A9513" s="22"/>
    </row>
    <row r="9514" spans="1:1">
      <c r="A9514" s="22"/>
    </row>
    <row r="9515" spans="1:1">
      <c r="A9515" s="22"/>
    </row>
    <row r="9516" spans="1:1">
      <c r="A9516" s="22"/>
    </row>
    <row r="9517" spans="1:1">
      <c r="A9517" s="22"/>
    </row>
    <row r="9518" spans="1:1">
      <c r="A9518" s="22"/>
    </row>
    <row r="9519" spans="1:1">
      <c r="A9519" s="22"/>
    </row>
    <row r="9520" spans="1:1">
      <c r="A9520" s="22"/>
    </row>
    <row r="9521" spans="1:1">
      <c r="A9521" s="22"/>
    </row>
    <row r="9522" spans="1:1">
      <c r="A9522" s="22"/>
    </row>
    <row r="9523" spans="1:1">
      <c r="A9523" s="22"/>
    </row>
    <row r="9524" spans="1:1">
      <c r="A9524" s="22"/>
    </row>
    <row r="9525" spans="1:1">
      <c r="A9525" s="22"/>
    </row>
    <row r="9526" spans="1:1">
      <c r="A9526" s="22"/>
    </row>
    <row r="9527" spans="1:1">
      <c r="A9527" s="22"/>
    </row>
    <row r="9528" spans="1:1">
      <c r="A9528" s="22"/>
    </row>
    <row r="9529" spans="1:1">
      <c r="A9529" s="22"/>
    </row>
    <row r="9530" spans="1:1">
      <c r="A9530" s="22"/>
    </row>
    <row r="9531" spans="1:1">
      <c r="A9531" s="22"/>
    </row>
    <row r="9532" spans="1:1">
      <c r="A9532" s="22"/>
    </row>
    <row r="9533" spans="1:1">
      <c r="A9533" s="22"/>
    </row>
    <row r="9534" spans="1:1">
      <c r="A9534" s="22"/>
    </row>
    <row r="9535" spans="1:1">
      <c r="A9535" s="22"/>
    </row>
    <row r="9536" spans="1:1">
      <c r="A9536" s="22"/>
    </row>
    <row r="9537" spans="1:1">
      <c r="A9537" s="22"/>
    </row>
    <row r="9538" spans="1:1">
      <c r="A9538" s="22"/>
    </row>
    <row r="9539" spans="1:1">
      <c r="A9539" s="22"/>
    </row>
    <row r="9540" spans="1:1">
      <c r="A9540" s="22"/>
    </row>
    <row r="9541" spans="1:1">
      <c r="A9541" s="22"/>
    </row>
    <row r="9542" spans="1:1">
      <c r="A9542" s="22"/>
    </row>
    <row r="9543" spans="1:1">
      <c r="A9543" s="22"/>
    </row>
    <row r="9544" spans="1:1">
      <c r="A9544" s="22"/>
    </row>
    <row r="9545" spans="1:1">
      <c r="A9545" s="22"/>
    </row>
    <row r="9546" spans="1:1">
      <c r="A9546" s="22"/>
    </row>
    <row r="9547" spans="1:1">
      <c r="A9547" s="22"/>
    </row>
    <row r="9548" spans="1:1">
      <c r="A9548" s="22"/>
    </row>
    <row r="9549" spans="1:1">
      <c r="A9549" s="22"/>
    </row>
    <row r="9550" spans="1:1">
      <c r="A9550" s="22"/>
    </row>
    <row r="9551" spans="1:1">
      <c r="A9551" s="22"/>
    </row>
    <row r="9552" spans="1:1">
      <c r="A9552" s="22"/>
    </row>
    <row r="9553" spans="1:1">
      <c r="A9553" s="22"/>
    </row>
    <row r="9554" spans="1:1">
      <c r="A9554" s="22"/>
    </row>
    <row r="9555" spans="1:1">
      <c r="A9555" s="22"/>
    </row>
    <row r="9556" spans="1:1">
      <c r="A9556" s="22"/>
    </row>
    <row r="9557" spans="1:1">
      <c r="A9557" s="22"/>
    </row>
    <row r="9558" spans="1:1">
      <c r="A9558" s="22"/>
    </row>
    <row r="9559" spans="1:1">
      <c r="A9559" s="22"/>
    </row>
    <row r="9560" spans="1:1">
      <c r="A9560" s="22"/>
    </row>
    <row r="9561" spans="1:1">
      <c r="A9561" s="22"/>
    </row>
    <row r="9562" spans="1:1">
      <c r="A9562" s="22"/>
    </row>
    <row r="9563" spans="1:1">
      <c r="A9563" s="22"/>
    </row>
    <row r="9564" spans="1:1">
      <c r="A9564" s="22"/>
    </row>
    <row r="9565" spans="1:1">
      <c r="A9565" s="22"/>
    </row>
    <row r="9566" spans="1:1">
      <c r="A9566" s="22"/>
    </row>
    <row r="9567" spans="1:1">
      <c r="A9567" s="22"/>
    </row>
    <row r="9568" spans="1:1">
      <c r="A9568" s="22"/>
    </row>
    <row r="9569" spans="1:1">
      <c r="A9569" s="22"/>
    </row>
    <row r="9570" spans="1:1">
      <c r="A9570" s="22"/>
    </row>
    <row r="9571" spans="1:1">
      <c r="A9571" s="22"/>
    </row>
    <row r="9572" spans="1:1">
      <c r="A9572" s="22"/>
    </row>
    <row r="9573" spans="1:1">
      <c r="A9573" s="22"/>
    </row>
    <row r="9574" spans="1:1">
      <c r="A9574" s="22"/>
    </row>
    <row r="9575" spans="1:1">
      <c r="A9575" s="22"/>
    </row>
    <row r="9576" spans="1:1">
      <c r="A9576" s="22"/>
    </row>
    <row r="9577" spans="1:1">
      <c r="A9577" s="22"/>
    </row>
    <row r="9578" spans="1:1">
      <c r="A9578" s="22"/>
    </row>
    <row r="9579" spans="1:1">
      <c r="A9579" s="22"/>
    </row>
    <row r="9580" spans="1:1">
      <c r="A9580" s="22"/>
    </row>
    <row r="9581" spans="1:1">
      <c r="A9581" s="22"/>
    </row>
    <row r="9582" spans="1:1">
      <c r="A9582" s="22"/>
    </row>
    <row r="9583" spans="1:1">
      <c r="A9583" s="22"/>
    </row>
    <row r="9584" spans="1:1">
      <c r="A9584" s="22"/>
    </row>
    <row r="9585" spans="1:1">
      <c r="A9585" s="22"/>
    </row>
    <row r="9586" spans="1:1">
      <c r="A9586" s="22"/>
    </row>
    <row r="9587" spans="1:1">
      <c r="A9587" s="22"/>
    </row>
    <row r="9588" spans="1:1">
      <c r="A9588" s="22"/>
    </row>
    <row r="9589" spans="1:1">
      <c r="A9589" s="22"/>
    </row>
    <row r="9590" spans="1:1">
      <c r="A9590" s="22"/>
    </row>
    <row r="9591" spans="1:1">
      <c r="A9591" s="22"/>
    </row>
    <row r="9592" spans="1:1">
      <c r="A9592" s="22"/>
    </row>
    <row r="9593" spans="1:1">
      <c r="A9593" s="22"/>
    </row>
    <row r="9594" spans="1:1">
      <c r="A9594" s="22"/>
    </row>
    <row r="9595" spans="1:1">
      <c r="A9595" s="22"/>
    </row>
    <row r="9596" spans="1:1">
      <c r="A9596" s="22"/>
    </row>
    <row r="9597" spans="1:1">
      <c r="A9597" s="22"/>
    </row>
    <row r="9598" spans="1:1">
      <c r="A9598" s="22"/>
    </row>
    <row r="9599" spans="1:1">
      <c r="A9599" s="22"/>
    </row>
    <row r="9600" spans="1:1">
      <c r="A9600" s="22"/>
    </row>
    <row r="9601" spans="1:1">
      <c r="A9601" s="22"/>
    </row>
    <row r="9602" spans="1:1">
      <c r="A9602" s="22"/>
    </row>
    <row r="9603" spans="1:1">
      <c r="A9603" s="22"/>
    </row>
    <row r="9604" spans="1:1">
      <c r="A9604" s="22"/>
    </row>
    <row r="9605" spans="1:1">
      <c r="A9605" s="22"/>
    </row>
    <row r="9606" spans="1:1">
      <c r="A9606" s="22"/>
    </row>
    <row r="9607" spans="1:1">
      <c r="A9607" s="22"/>
    </row>
    <row r="9608" spans="1:1">
      <c r="A9608" s="22"/>
    </row>
    <row r="9609" spans="1:1">
      <c r="A9609" s="22"/>
    </row>
    <row r="9610" spans="1:1">
      <c r="A9610" s="22"/>
    </row>
    <row r="9611" spans="1:1">
      <c r="A9611" s="22"/>
    </row>
    <row r="9612" spans="1:1">
      <c r="A9612" s="22"/>
    </row>
    <row r="9613" spans="1:1">
      <c r="A9613" s="22"/>
    </row>
    <row r="9614" spans="1:1">
      <c r="A9614" s="22"/>
    </row>
    <row r="9615" spans="1:1">
      <c r="A9615" s="22"/>
    </row>
    <row r="9616" spans="1:1">
      <c r="A9616" s="22"/>
    </row>
    <row r="9617" spans="1:1">
      <c r="A9617" s="22"/>
    </row>
    <row r="9618" spans="1:1">
      <c r="A9618" s="22"/>
    </row>
    <row r="9619" spans="1:1">
      <c r="A9619" s="22"/>
    </row>
    <row r="9620" spans="1:1">
      <c r="A9620" s="22"/>
    </row>
    <row r="9621" spans="1:1">
      <c r="A9621" s="22"/>
    </row>
    <row r="9622" spans="1:1">
      <c r="A9622" s="22"/>
    </row>
    <row r="9623" spans="1:1">
      <c r="A9623" s="22"/>
    </row>
    <row r="9624" spans="1:1">
      <c r="A9624" s="22"/>
    </row>
    <row r="9625" spans="1:1">
      <c r="A9625" s="22"/>
    </row>
    <row r="9626" spans="1:1">
      <c r="A9626" s="22"/>
    </row>
    <row r="9627" spans="1:1">
      <c r="A9627" s="22"/>
    </row>
    <row r="9628" spans="1:1">
      <c r="A9628" s="22"/>
    </row>
    <row r="9629" spans="1:1">
      <c r="A9629" s="22"/>
    </row>
    <row r="9630" spans="1:1">
      <c r="A9630" s="22"/>
    </row>
    <row r="9631" spans="1:1">
      <c r="A9631" s="22"/>
    </row>
    <row r="9632" spans="1:1">
      <c r="A9632" s="22"/>
    </row>
    <row r="9633" spans="1:1">
      <c r="A9633" s="22"/>
    </row>
    <row r="9634" spans="1:1">
      <c r="A9634" s="22"/>
    </row>
    <row r="9635" spans="1:1">
      <c r="A9635" s="22"/>
    </row>
    <row r="9636" spans="1:1">
      <c r="A9636" s="22"/>
    </row>
    <row r="9637" spans="1:1">
      <c r="A9637" s="22"/>
    </row>
    <row r="9638" spans="1:1">
      <c r="A9638" s="22"/>
    </row>
    <row r="9639" spans="1:1">
      <c r="A9639" s="22"/>
    </row>
    <row r="9640" spans="1:1">
      <c r="A9640" s="22"/>
    </row>
    <row r="9641" spans="1:1">
      <c r="A9641" s="22"/>
    </row>
    <row r="9642" spans="1:1">
      <c r="A9642" s="22"/>
    </row>
    <row r="9643" spans="1:1">
      <c r="A9643" s="22"/>
    </row>
    <row r="9644" spans="1:1">
      <c r="A9644" s="22"/>
    </row>
    <row r="9645" spans="1:1">
      <c r="A9645" s="22"/>
    </row>
    <row r="9646" spans="1:1">
      <c r="A9646" s="22"/>
    </row>
    <row r="9647" spans="1:1">
      <c r="A9647" s="22"/>
    </row>
    <row r="9648" spans="1:1">
      <c r="A9648" s="22"/>
    </row>
    <row r="9649" spans="1:1">
      <c r="A9649" s="22"/>
    </row>
    <row r="9650" spans="1:1">
      <c r="A9650" s="22"/>
    </row>
    <row r="9651" spans="1:1">
      <c r="A9651" s="22"/>
    </row>
    <row r="9652" spans="1:1">
      <c r="A9652" s="22"/>
    </row>
    <row r="9653" spans="1:1">
      <c r="A9653" s="22"/>
    </row>
    <row r="9654" spans="1:1">
      <c r="A9654" s="22"/>
    </row>
    <row r="9655" spans="1:1">
      <c r="A9655" s="22"/>
    </row>
    <row r="9656" spans="1:1">
      <c r="A9656" s="22"/>
    </row>
    <row r="9657" spans="1:1">
      <c r="A9657" s="22"/>
    </row>
    <row r="9658" spans="1:1">
      <c r="A9658" s="22"/>
    </row>
    <row r="9659" spans="1:1">
      <c r="A9659" s="22"/>
    </row>
    <row r="9660" spans="1:1">
      <c r="A9660" s="22"/>
    </row>
    <row r="9661" spans="1:1">
      <c r="A9661" s="22"/>
    </row>
    <row r="9662" spans="1:1">
      <c r="A9662" s="22"/>
    </row>
    <row r="9663" spans="1:1">
      <c r="A9663" s="22"/>
    </row>
    <row r="9664" spans="1:1">
      <c r="A9664" s="22"/>
    </row>
    <row r="9665" spans="1:1">
      <c r="A9665" s="22"/>
    </row>
    <row r="9666" spans="1:1">
      <c r="A9666" s="22"/>
    </row>
    <row r="9667" spans="1:1">
      <c r="A9667" s="22"/>
    </row>
    <row r="9668" spans="1:1">
      <c r="A9668" s="22"/>
    </row>
    <row r="9669" spans="1:1">
      <c r="A9669" s="22"/>
    </row>
    <row r="9670" spans="1:1">
      <c r="A9670" s="22"/>
    </row>
    <row r="9671" spans="1:1">
      <c r="A9671" s="22"/>
    </row>
    <row r="9672" spans="1:1">
      <c r="A9672" s="22"/>
    </row>
    <row r="9673" spans="1:1">
      <c r="A9673" s="22"/>
    </row>
    <row r="9674" spans="1:1">
      <c r="A9674" s="22"/>
    </row>
    <row r="9675" spans="1:1">
      <c r="A9675" s="22"/>
    </row>
    <row r="9676" spans="1:1">
      <c r="A9676" s="22"/>
    </row>
    <row r="9677" spans="1:1">
      <c r="A9677" s="22"/>
    </row>
    <row r="9678" spans="1:1">
      <c r="A9678" s="22"/>
    </row>
    <row r="9679" spans="1:1">
      <c r="A9679" s="22"/>
    </row>
    <row r="9680" spans="1:1">
      <c r="A9680" s="22"/>
    </row>
    <row r="9681" spans="1:1">
      <c r="A9681" s="22"/>
    </row>
    <row r="9682" spans="1:1">
      <c r="A9682" s="22"/>
    </row>
    <row r="9683" spans="1:1">
      <c r="A9683" s="22"/>
    </row>
    <row r="9684" spans="1:1">
      <c r="A9684" s="22"/>
    </row>
    <row r="9685" spans="1:1">
      <c r="A9685" s="22"/>
    </row>
    <row r="9686" spans="1:1">
      <c r="A9686" s="22"/>
    </row>
    <row r="9687" spans="1:1">
      <c r="A9687" s="22"/>
    </row>
    <row r="9688" spans="1:1">
      <c r="A9688" s="22"/>
    </row>
    <row r="9689" spans="1:1">
      <c r="A9689" s="22"/>
    </row>
    <row r="9690" spans="1:1">
      <c r="A9690" s="22"/>
    </row>
    <row r="9691" spans="1:1">
      <c r="A9691" s="22"/>
    </row>
    <row r="9692" spans="1:1">
      <c r="A9692" s="22"/>
    </row>
    <row r="9693" spans="1:1">
      <c r="A9693" s="22"/>
    </row>
    <row r="9694" spans="1:1">
      <c r="A9694" s="22"/>
    </row>
    <row r="9695" spans="1:1">
      <c r="A9695" s="22"/>
    </row>
    <row r="9696" spans="1:1">
      <c r="A9696" s="22"/>
    </row>
    <row r="9697" spans="1:1">
      <c r="A9697" s="22"/>
    </row>
    <row r="9698" spans="1:1">
      <c r="A9698" s="22"/>
    </row>
    <row r="9699" spans="1:1">
      <c r="A9699" s="22"/>
    </row>
    <row r="9700" spans="1:1">
      <c r="A9700" s="22"/>
    </row>
    <row r="9701" spans="1:1">
      <c r="A9701" s="22"/>
    </row>
    <row r="9702" spans="1:1">
      <c r="A9702" s="22"/>
    </row>
    <row r="9703" spans="1:1">
      <c r="A9703" s="22"/>
    </row>
    <row r="9704" spans="1:1">
      <c r="A9704" s="22"/>
    </row>
    <row r="9705" spans="1:1">
      <c r="A9705" s="22"/>
    </row>
    <row r="9706" spans="1:1">
      <c r="A9706" s="22"/>
    </row>
    <row r="9707" spans="1:1">
      <c r="A9707" s="22"/>
    </row>
    <row r="9708" spans="1:1">
      <c r="A9708" s="22"/>
    </row>
    <row r="9709" spans="1:1">
      <c r="A9709" s="22"/>
    </row>
    <row r="9710" spans="1:1">
      <c r="A9710" s="22"/>
    </row>
    <row r="9711" spans="1:1">
      <c r="A9711" s="22"/>
    </row>
    <row r="9712" spans="1:1">
      <c r="A9712" s="22"/>
    </row>
    <row r="9713" spans="1:1">
      <c r="A9713" s="22"/>
    </row>
    <row r="9714" spans="1:1">
      <c r="A9714" s="22"/>
    </row>
    <row r="9715" spans="1:1">
      <c r="A9715" s="22"/>
    </row>
    <row r="9716" spans="1:1">
      <c r="A9716" s="22"/>
    </row>
    <row r="9717" spans="1:1">
      <c r="A9717" s="22"/>
    </row>
    <row r="9718" spans="1:1">
      <c r="A9718" s="22"/>
    </row>
    <row r="9719" spans="1:1">
      <c r="A9719" s="22"/>
    </row>
    <row r="9720" spans="1:1">
      <c r="A9720" s="22"/>
    </row>
    <row r="9721" spans="1:1">
      <c r="A9721" s="22"/>
    </row>
    <row r="9722" spans="1:1">
      <c r="A9722" s="22"/>
    </row>
    <row r="9723" spans="1:1">
      <c r="A9723" s="22"/>
    </row>
    <row r="9724" spans="1:1">
      <c r="A9724" s="22"/>
    </row>
    <row r="9725" spans="1:1">
      <c r="A9725" s="22"/>
    </row>
    <row r="9726" spans="1:1">
      <c r="A9726" s="22"/>
    </row>
    <row r="9727" spans="1:1">
      <c r="A9727" s="22"/>
    </row>
    <row r="9728" spans="1:1">
      <c r="A9728" s="22"/>
    </row>
    <row r="9729" spans="1:1">
      <c r="A9729" s="22"/>
    </row>
    <row r="9730" spans="1:1">
      <c r="A9730" s="22"/>
    </row>
    <row r="9731" spans="1:1">
      <c r="A9731" s="22"/>
    </row>
    <row r="9732" spans="1:1">
      <c r="A9732" s="22"/>
    </row>
    <row r="9733" spans="1:1">
      <c r="A9733" s="22"/>
    </row>
    <row r="9734" spans="1:1">
      <c r="A9734" s="22"/>
    </row>
    <row r="9735" spans="1:1">
      <c r="A9735" s="22"/>
    </row>
    <row r="9736" spans="1:1">
      <c r="A9736" s="22"/>
    </row>
    <row r="9737" spans="1:1">
      <c r="A9737" s="22"/>
    </row>
    <row r="9738" spans="1:1">
      <c r="A9738" s="22"/>
    </row>
    <row r="9739" spans="1:1">
      <c r="A9739" s="22"/>
    </row>
    <row r="9740" spans="1:1">
      <c r="A9740" s="22"/>
    </row>
    <row r="9741" spans="1:1">
      <c r="A9741" s="22"/>
    </row>
    <row r="9742" spans="1:1">
      <c r="A9742" s="22"/>
    </row>
    <row r="9743" spans="1:1">
      <c r="A9743" s="22"/>
    </row>
    <row r="9744" spans="1:1">
      <c r="A9744" s="22"/>
    </row>
    <row r="9745" spans="1:1">
      <c r="A9745" s="22"/>
    </row>
    <row r="9746" spans="1:1">
      <c r="A9746" s="22"/>
    </row>
    <row r="9747" spans="1:1">
      <c r="A9747" s="22"/>
    </row>
    <row r="9748" spans="1:1">
      <c r="A9748" s="22"/>
    </row>
    <row r="9749" spans="1:1">
      <c r="A9749" s="22"/>
    </row>
    <row r="9750" spans="1:1">
      <c r="A9750" s="22"/>
    </row>
    <row r="9751" spans="1:1">
      <c r="A9751" s="22"/>
    </row>
    <row r="9752" spans="1:1">
      <c r="A9752" s="22"/>
    </row>
    <row r="9753" spans="1:1">
      <c r="A9753" s="22"/>
    </row>
    <row r="9754" spans="1:1">
      <c r="A9754" s="22"/>
    </row>
    <row r="9755" spans="1:1">
      <c r="A9755" s="22"/>
    </row>
    <row r="9756" spans="1:1">
      <c r="A9756" s="22"/>
    </row>
    <row r="9757" spans="1:1">
      <c r="A9757" s="22"/>
    </row>
    <row r="9758" spans="1:1">
      <c r="A9758" s="22"/>
    </row>
    <row r="9759" spans="1:1">
      <c r="A9759" s="22"/>
    </row>
    <row r="9760" spans="1:1">
      <c r="A9760" s="22"/>
    </row>
    <row r="9761" spans="1:1">
      <c r="A9761" s="22"/>
    </row>
    <row r="9762" spans="1:1">
      <c r="A9762" s="22"/>
    </row>
    <row r="9763" spans="1:1">
      <c r="A9763" s="22"/>
    </row>
    <row r="9764" spans="1:1">
      <c r="A9764" s="22"/>
    </row>
    <row r="9765" spans="1:1">
      <c r="A9765" s="22"/>
    </row>
    <row r="9766" spans="1:1">
      <c r="A9766" s="22"/>
    </row>
    <row r="9767" spans="1:1">
      <c r="A9767" s="22"/>
    </row>
    <row r="9768" spans="1:1">
      <c r="A9768" s="22"/>
    </row>
    <row r="9769" spans="1:1">
      <c r="A9769" s="22"/>
    </row>
    <row r="9770" spans="1:1">
      <c r="A9770" s="22"/>
    </row>
    <row r="9771" spans="1:1">
      <c r="A9771" s="22"/>
    </row>
    <row r="9772" spans="1:1">
      <c r="A9772" s="22"/>
    </row>
    <row r="9773" spans="1:1">
      <c r="A9773" s="22"/>
    </row>
    <row r="9774" spans="1:1">
      <c r="A9774" s="22"/>
    </row>
    <row r="9775" spans="1:1">
      <c r="A9775" s="22"/>
    </row>
    <row r="9776" spans="1:1">
      <c r="A9776" s="22"/>
    </row>
    <row r="9777" spans="1:1">
      <c r="A9777" s="22"/>
    </row>
    <row r="9778" spans="1:1">
      <c r="A9778" s="22"/>
    </row>
    <row r="9779" spans="1:1">
      <c r="A9779" s="22"/>
    </row>
    <row r="9780" spans="1:1">
      <c r="A9780" s="22"/>
    </row>
    <row r="9781" spans="1:1">
      <c r="A9781" s="22"/>
    </row>
    <row r="9782" spans="1:1">
      <c r="A9782" s="22"/>
    </row>
    <row r="9783" spans="1:1">
      <c r="A9783" s="22"/>
    </row>
    <row r="9784" spans="1:1">
      <c r="A9784" s="22"/>
    </row>
    <row r="9785" spans="1:1">
      <c r="A9785" s="22"/>
    </row>
    <row r="9786" spans="1:1">
      <c r="A9786" s="22"/>
    </row>
    <row r="9787" spans="1:1">
      <c r="A9787" s="22"/>
    </row>
    <row r="9788" spans="1:1">
      <c r="A9788" s="22"/>
    </row>
    <row r="9789" spans="1:1">
      <c r="A9789" s="22"/>
    </row>
    <row r="9790" spans="1:1">
      <c r="A9790" s="22"/>
    </row>
    <row r="9791" spans="1:1">
      <c r="A9791" s="22"/>
    </row>
    <row r="9792" spans="1:1">
      <c r="A9792" s="22"/>
    </row>
    <row r="9793" spans="1:1">
      <c r="A9793" s="22"/>
    </row>
    <row r="9794" spans="1:1">
      <c r="A9794" s="22"/>
    </row>
    <row r="9795" spans="1:1">
      <c r="A9795" s="22"/>
    </row>
    <row r="9796" spans="1:1">
      <c r="A9796" s="22"/>
    </row>
    <row r="9797" spans="1:1">
      <c r="A9797" s="22"/>
    </row>
    <row r="9798" spans="1:1">
      <c r="A9798" s="22"/>
    </row>
    <row r="9799" spans="1:1">
      <c r="A9799" s="22"/>
    </row>
    <row r="9800" spans="1:1">
      <c r="A9800" s="22"/>
    </row>
    <row r="9801" spans="1:1">
      <c r="A9801" s="22"/>
    </row>
    <row r="9802" spans="1:1">
      <c r="A9802" s="22"/>
    </row>
    <row r="9803" spans="1:1">
      <c r="A9803" s="22"/>
    </row>
    <row r="9804" spans="1:1">
      <c r="A9804" s="22"/>
    </row>
    <row r="9805" spans="1:1">
      <c r="A9805" s="22"/>
    </row>
    <row r="9806" spans="1:1">
      <c r="A9806" s="22"/>
    </row>
    <row r="9807" spans="1:1">
      <c r="A9807" s="22"/>
    </row>
    <row r="9808" spans="1:1">
      <c r="A9808" s="22"/>
    </row>
    <row r="9809" spans="1:1">
      <c r="A9809" s="22"/>
    </row>
    <row r="9810" spans="1:1">
      <c r="A9810" s="22"/>
    </row>
    <row r="9811" spans="1:1">
      <c r="A9811" s="22"/>
    </row>
    <row r="9812" spans="1:1">
      <c r="A9812" s="22"/>
    </row>
    <row r="9813" spans="1:1">
      <c r="A9813" s="22"/>
    </row>
    <row r="9814" spans="1:1">
      <c r="A9814" s="22"/>
    </row>
    <row r="9815" spans="1:1">
      <c r="A9815" s="22"/>
    </row>
    <row r="9816" spans="1:1">
      <c r="A9816" s="22"/>
    </row>
    <row r="9817" spans="1:1">
      <c r="A9817" s="22"/>
    </row>
    <row r="9818" spans="1:1">
      <c r="A9818" s="22"/>
    </row>
    <row r="9819" spans="1:1">
      <c r="A9819" s="22"/>
    </row>
    <row r="9820" spans="1:1">
      <c r="A9820" s="22"/>
    </row>
    <row r="9821" spans="1:1">
      <c r="A9821" s="22"/>
    </row>
    <row r="9822" spans="1:1">
      <c r="A9822" s="22"/>
    </row>
    <row r="9823" spans="1:1">
      <c r="A9823" s="22"/>
    </row>
    <row r="9824" spans="1:1">
      <c r="A9824" s="22"/>
    </row>
    <row r="9825" spans="1:1">
      <c r="A9825" s="22"/>
    </row>
    <row r="9826" spans="1:1">
      <c r="A9826" s="22"/>
    </row>
    <row r="9827" spans="1:1">
      <c r="A9827" s="22"/>
    </row>
    <row r="9828" spans="1:1">
      <c r="A9828" s="22"/>
    </row>
    <row r="9829" spans="1:1">
      <c r="A9829" s="22"/>
    </row>
    <row r="9830" spans="1:1">
      <c r="A9830" s="22"/>
    </row>
    <row r="9831" spans="1:1">
      <c r="A9831" s="22"/>
    </row>
    <row r="9832" spans="1:1">
      <c r="A9832" s="22"/>
    </row>
    <row r="9833" spans="1:1">
      <c r="A9833" s="22"/>
    </row>
    <row r="9834" spans="1:1">
      <c r="A9834" s="22"/>
    </row>
    <row r="9835" spans="1:1">
      <c r="A9835" s="22"/>
    </row>
    <row r="9836" spans="1:1">
      <c r="A9836" s="22"/>
    </row>
    <row r="9837" spans="1:1">
      <c r="A9837" s="22"/>
    </row>
    <row r="9838" spans="1:1">
      <c r="A9838" s="22"/>
    </row>
    <row r="9839" spans="1:1">
      <c r="A9839" s="22"/>
    </row>
    <row r="9840" spans="1:1">
      <c r="A9840" s="22"/>
    </row>
    <row r="9841" spans="1:1">
      <c r="A9841" s="22"/>
    </row>
    <row r="9842" spans="1:1">
      <c r="A9842" s="22"/>
    </row>
    <row r="9843" spans="1:1">
      <c r="A9843" s="22"/>
    </row>
    <row r="9844" spans="1:1">
      <c r="A9844" s="22"/>
    </row>
    <row r="9845" spans="1:1">
      <c r="A9845" s="22"/>
    </row>
    <row r="9846" spans="1:1">
      <c r="A9846" s="22"/>
    </row>
    <row r="9847" spans="1:1">
      <c r="A9847" s="22"/>
    </row>
    <row r="9848" spans="1:1">
      <c r="A9848" s="22"/>
    </row>
    <row r="9849" spans="1:1">
      <c r="A9849" s="22"/>
    </row>
    <row r="9850" spans="1:1">
      <c r="A9850" s="22"/>
    </row>
    <row r="9851" spans="1:1">
      <c r="A9851" s="22"/>
    </row>
    <row r="9852" spans="1:1">
      <c r="A9852" s="22"/>
    </row>
    <row r="9853" spans="1:1">
      <c r="A9853" s="22"/>
    </row>
    <row r="9854" spans="1:1">
      <c r="A9854" s="22"/>
    </row>
    <row r="9855" spans="1:1">
      <c r="A9855" s="22"/>
    </row>
    <row r="9856" spans="1:1">
      <c r="A9856" s="22"/>
    </row>
    <row r="9857" spans="1:1">
      <c r="A9857" s="22"/>
    </row>
    <row r="9858" spans="1:1">
      <c r="A9858" s="22"/>
    </row>
    <row r="9859" spans="1:1">
      <c r="A9859" s="22"/>
    </row>
    <row r="9860" spans="1:1">
      <c r="A9860" s="22"/>
    </row>
    <row r="9861" spans="1:1">
      <c r="A9861" s="22"/>
    </row>
    <row r="9862" spans="1:1">
      <c r="A9862" s="22"/>
    </row>
    <row r="9863" spans="1:1">
      <c r="A9863" s="22"/>
    </row>
    <row r="9864" spans="1:1">
      <c r="A9864" s="22"/>
    </row>
    <row r="9865" spans="1:1">
      <c r="A9865" s="22"/>
    </row>
    <row r="9866" spans="1:1">
      <c r="A9866" s="22"/>
    </row>
    <row r="9867" spans="1:1">
      <c r="A9867" s="22"/>
    </row>
    <row r="9868" spans="1:1">
      <c r="A9868" s="22"/>
    </row>
    <row r="9869" spans="1:1">
      <c r="A9869" s="22"/>
    </row>
    <row r="9870" spans="1:1">
      <c r="A9870" s="22"/>
    </row>
    <row r="9871" spans="1:1">
      <c r="A9871" s="22"/>
    </row>
    <row r="9872" spans="1:1">
      <c r="A9872" s="22"/>
    </row>
    <row r="9873" spans="1:1">
      <c r="A9873" s="22"/>
    </row>
    <row r="9874" spans="1:1">
      <c r="A9874" s="22"/>
    </row>
    <row r="9875" spans="1:1">
      <c r="A9875" s="22"/>
    </row>
    <row r="9876" spans="1:1">
      <c r="A9876" s="22"/>
    </row>
    <row r="9877" spans="1:1">
      <c r="A9877" s="22"/>
    </row>
    <row r="9878" spans="1:1">
      <c r="A9878" s="22"/>
    </row>
    <row r="9879" spans="1:1">
      <c r="A9879" s="22"/>
    </row>
    <row r="9880" spans="1:1">
      <c r="A9880" s="22"/>
    </row>
    <row r="9881" spans="1:1">
      <c r="A9881" s="22"/>
    </row>
    <row r="9882" spans="1:1">
      <c r="A9882" s="22"/>
    </row>
    <row r="9883" spans="1:1">
      <c r="A9883" s="22"/>
    </row>
    <row r="9884" spans="1:1">
      <c r="A9884" s="22"/>
    </row>
    <row r="9885" spans="1:1">
      <c r="A9885" s="22"/>
    </row>
    <row r="9886" spans="1:1">
      <c r="A9886" s="22"/>
    </row>
    <row r="9887" spans="1:1">
      <c r="A9887" s="22"/>
    </row>
    <row r="9888" spans="1:1">
      <c r="A9888" s="22"/>
    </row>
    <row r="9889" spans="1:1">
      <c r="A9889" s="22"/>
    </row>
    <row r="9890" spans="1:1">
      <c r="A9890" s="22"/>
    </row>
    <row r="9891" spans="1:1">
      <c r="A9891" s="22"/>
    </row>
    <row r="9892" spans="1:1">
      <c r="A9892" s="22"/>
    </row>
    <row r="9893" spans="1:1">
      <c r="A9893" s="22"/>
    </row>
    <row r="9894" spans="1:1">
      <c r="A9894" s="22"/>
    </row>
    <row r="9895" spans="1:1">
      <c r="A9895" s="22"/>
    </row>
    <row r="9896" spans="1:1">
      <c r="A9896" s="22"/>
    </row>
    <row r="9897" spans="1:1">
      <c r="A9897" s="22"/>
    </row>
    <row r="9898" spans="1:1">
      <c r="A9898" s="22"/>
    </row>
    <row r="9899" spans="1:1">
      <c r="A9899" s="22"/>
    </row>
    <row r="9900" spans="1:1">
      <c r="A9900" s="22"/>
    </row>
    <row r="9901" spans="1:1">
      <c r="A9901" s="22"/>
    </row>
    <row r="9902" spans="1:1">
      <c r="A9902" s="22"/>
    </row>
    <row r="9903" spans="1:1">
      <c r="A9903" s="22"/>
    </row>
    <row r="9904" spans="1:1">
      <c r="A9904" s="22"/>
    </row>
    <row r="9905" spans="1:1">
      <c r="A9905" s="22"/>
    </row>
    <row r="9906" spans="1:1">
      <c r="A9906" s="22"/>
    </row>
    <row r="9907" spans="1:1">
      <c r="A9907" s="22"/>
    </row>
    <row r="9908" spans="1:1">
      <c r="A9908" s="22"/>
    </row>
    <row r="9909" spans="1:1">
      <c r="A9909" s="22"/>
    </row>
    <row r="9910" spans="1:1">
      <c r="A9910" s="22"/>
    </row>
    <row r="9911" spans="1:1">
      <c r="A9911" s="22"/>
    </row>
    <row r="9912" spans="1:1">
      <c r="A9912" s="22"/>
    </row>
    <row r="9913" spans="1:1">
      <c r="A9913" s="22"/>
    </row>
    <row r="9914" spans="1:1">
      <c r="A9914" s="22"/>
    </row>
    <row r="9915" spans="1:1">
      <c r="A9915" s="22"/>
    </row>
    <row r="9916" spans="1:1">
      <c r="A9916" s="22"/>
    </row>
    <row r="9917" spans="1:1">
      <c r="A9917" s="22"/>
    </row>
    <row r="9918" spans="1:1">
      <c r="A9918" s="22"/>
    </row>
    <row r="9919" spans="1:1">
      <c r="A9919" s="22"/>
    </row>
    <row r="9920" spans="1:1">
      <c r="A9920" s="22"/>
    </row>
    <row r="9921" spans="1:1">
      <c r="A9921" s="22"/>
    </row>
    <row r="9922" spans="1:1">
      <c r="A9922" s="22"/>
    </row>
    <row r="9923" spans="1:1">
      <c r="A9923" s="22"/>
    </row>
    <row r="9924" spans="1:1">
      <c r="A9924" s="22"/>
    </row>
    <row r="9925" spans="1:1">
      <c r="A9925" s="22"/>
    </row>
    <row r="9926" spans="1:1">
      <c r="A9926" s="22"/>
    </row>
    <row r="9927" spans="1:1">
      <c r="A9927" s="22"/>
    </row>
    <row r="9928" spans="1:1">
      <c r="A9928" s="22"/>
    </row>
    <row r="9929" spans="1:1">
      <c r="A9929" s="22"/>
    </row>
    <row r="9930" spans="1:1">
      <c r="A9930" s="22"/>
    </row>
    <row r="9931" spans="1:1">
      <c r="A9931" s="22"/>
    </row>
    <row r="9932" spans="1:1">
      <c r="A9932" s="22"/>
    </row>
    <row r="9933" spans="1:1">
      <c r="A9933" s="22"/>
    </row>
    <row r="9934" spans="1:1">
      <c r="A9934" s="22"/>
    </row>
    <row r="9935" spans="1:1">
      <c r="A9935" s="22"/>
    </row>
    <row r="9936" spans="1:1">
      <c r="A9936" s="22"/>
    </row>
    <row r="9937" spans="1:1">
      <c r="A9937" s="22"/>
    </row>
    <row r="9938" spans="1:1">
      <c r="A9938" s="22"/>
    </row>
    <row r="9939" spans="1:1">
      <c r="A9939" s="22"/>
    </row>
    <row r="9940" spans="1:1">
      <c r="A9940" s="22"/>
    </row>
    <row r="9941" spans="1:1">
      <c r="A9941" s="22"/>
    </row>
    <row r="9942" spans="1:1">
      <c r="A9942" s="22"/>
    </row>
    <row r="9943" spans="1:1">
      <c r="A9943" s="22"/>
    </row>
    <row r="9944" spans="1:1">
      <c r="A9944" s="22"/>
    </row>
    <row r="9945" spans="1:1">
      <c r="A9945" s="22"/>
    </row>
    <row r="9946" spans="1:1">
      <c r="A9946" s="22"/>
    </row>
    <row r="9947" spans="1:1">
      <c r="A9947" s="22"/>
    </row>
    <row r="9948" spans="1:1">
      <c r="A9948" s="22"/>
    </row>
    <row r="9949" spans="1:1">
      <c r="A9949" s="22"/>
    </row>
    <row r="9950" spans="1:1">
      <c r="A9950" s="22"/>
    </row>
    <row r="9951" spans="1:1">
      <c r="A9951" s="22"/>
    </row>
    <row r="9952" spans="1:1">
      <c r="A9952" s="22"/>
    </row>
    <row r="9953" spans="1:1">
      <c r="A9953" s="22"/>
    </row>
    <row r="9954" spans="1:1">
      <c r="A9954" s="22"/>
    </row>
    <row r="9955" spans="1:1">
      <c r="A9955" s="22"/>
    </row>
    <row r="9956" spans="1:1">
      <c r="A9956" s="22"/>
    </row>
    <row r="9957" spans="1:1">
      <c r="A9957" s="22"/>
    </row>
    <row r="9958" spans="1:1">
      <c r="A9958" s="22"/>
    </row>
    <row r="9959" spans="1:1">
      <c r="A9959" s="22"/>
    </row>
    <row r="9960" spans="1:1">
      <c r="A9960" s="22"/>
    </row>
    <row r="9961" spans="1:1">
      <c r="A9961" s="22"/>
    </row>
    <row r="9962" spans="1:1">
      <c r="A9962" s="22"/>
    </row>
    <row r="9963" spans="1:1">
      <c r="A9963" s="22"/>
    </row>
    <row r="9964" spans="1:1">
      <c r="A9964" s="22"/>
    </row>
    <row r="9965" spans="1:1">
      <c r="A9965" s="22"/>
    </row>
    <row r="9966" spans="1:1">
      <c r="A9966" s="22"/>
    </row>
    <row r="9967" spans="1:1">
      <c r="A9967" s="22"/>
    </row>
    <row r="9968" spans="1:1">
      <c r="A9968" s="22"/>
    </row>
    <row r="9969" spans="1:1">
      <c r="A9969" s="22"/>
    </row>
    <row r="9970" spans="1:1">
      <c r="A9970" s="22"/>
    </row>
    <row r="9971" spans="1:1">
      <c r="A9971" s="22"/>
    </row>
    <row r="9972" spans="1:1">
      <c r="A9972" s="22"/>
    </row>
    <row r="9973" spans="1:1">
      <c r="A9973" s="22"/>
    </row>
    <row r="9974" spans="1:1">
      <c r="A9974" s="22"/>
    </row>
    <row r="9975" spans="1:1">
      <c r="A9975" s="22"/>
    </row>
    <row r="9976" spans="1:1">
      <c r="A9976" s="22"/>
    </row>
    <row r="9977" spans="1:1">
      <c r="A9977" s="22"/>
    </row>
    <row r="9978" spans="1:1">
      <c r="A9978" s="22"/>
    </row>
    <row r="9979" spans="1:1">
      <c r="A9979" s="22"/>
    </row>
    <row r="9980" spans="1:1">
      <c r="A9980" s="22"/>
    </row>
    <row r="9981" spans="1:1">
      <c r="A9981" s="22"/>
    </row>
    <row r="9982" spans="1:1">
      <c r="A9982" s="22"/>
    </row>
    <row r="9983" spans="1:1">
      <c r="A9983" s="22"/>
    </row>
    <row r="9984" spans="1:1">
      <c r="A9984" s="22"/>
    </row>
    <row r="9985" spans="1:1">
      <c r="A9985" s="22"/>
    </row>
    <row r="9986" spans="1:1">
      <c r="A9986" s="22"/>
    </row>
    <row r="9987" spans="1:1">
      <c r="A9987" s="22"/>
    </row>
    <row r="9988" spans="1:1">
      <c r="A9988" s="22"/>
    </row>
    <row r="9989" spans="1:1">
      <c r="A9989" s="22"/>
    </row>
    <row r="9990" spans="1:1">
      <c r="A9990" s="22"/>
    </row>
    <row r="9991" spans="1:1">
      <c r="A9991" s="22"/>
    </row>
    <row r="9992" spans="1:1">
      <c r="A9992" s="22"/>
    </row>
    <row r="9993" spans="1:1">
      <c r="A9993" s="22"/>
    </row>
    <row r="9994" spans="1:1">
      <c r="A9994" s="22"/>
    </row>
    <row r="9995" spans="1:1">
      <c r="A9995" s="22"/>
    </row>
    <row r="9996" spans="1:1">
      <c r="A9996" s="22"/>
    </row>
    <row r="9997" spans="1:1">
      <c r="A9997" s="22"/>
    </row>
    <row r="9998" spans="1:1">
      <c r="A9998" s="22"/>
    </row>
    <row r="9999" spans="1:1">
      <c r="A9999" s="22"/>
    </row>
    <row r="10000" spans="1:1">
      <c r="A10000" s="22"/>
    </row>
    <row r="10001" spans="1:1">
      <c r="A10001" s="22"/>
    </row>
    <row r="10002" spans="1:1">
      <c r="A10002" s="22"/>
    </row>
    <row r="10003" spans="1:1">
      <c r="A10003" s="22"/>
    </row>
    <row r="10004" spans="1:1">
      <c r="A10004" s="22"/>
    </row>
    <row r="10005" spans="1:1">
      <c r="A10005" s="22"/>
    </row>
    <row r="10006" spans="1:1">
      <c r="A10006" s="22"/>
    </row>
    <row r="10007" spans="1:1">
      <c r="A10007" s="22"/>
    </row>
    <row r="10008" spans="1:1">
      <c r="A10008" s="22"/>
    </row>
    <row r="10009" spans="1:1">
      <c r="A10009" s="22"/>
    </row>
    <row r="10010" spans="1:1">
      <c r="A10010" s="22"/>
    </row>
    <row r="10011" spans="1:1">
      <c r="A10011" s="22"/>
    </row>
    <row r="10012" spans="1:1">
      <c r="A10012" s="22"/>
    </row>
    <row r="10013" spans="1:1">
      <c r="A10013" s="22"/>
    </row>
    <row r="10014" spans="1:1">
      <c r="A10014" s="22"/>
    </row>
    <row r="10015" spans="1:1">
      <c r="A10015" s="22"/>
    </row>
    <row r="10016" spans="1:1">
      <c r="A10016" s="22"/>
    </row>
    <row r="10017" spans="1:1">
      <c r="A10017" s="22"/>
    </row>
    <row r="10018" spans="1:1">
      <c r="A10018" s="22"/>
    </row>
    <row r="10019" spans="1:1">
      <c r="A10019" s="22"/>
    </row>
    <row r="10020" spans="1:1">
      <c r="A10020" s="22"/>
    </row>
    <row r="10021" spans="1:1">
      <c r="A10021" s="22"/>
    </row>
    <row r="10022" spans="1:1">
      <c r="A10022" s="22"/>
    </row>
    <row r="10023" spans="1:1">
      <c r="A10023" s="22"/>
    </row>
    <row r="10024" spans="1:1">
      <c r="A10024" s="22"/>
    </row>
    <row r="10025" spans="1:1">
      <c r="A10025" s="22"/>
    </row>
    <row r="10026" spans="1:1">
      <c r="A10026" s="22"/>
    </row>
    <row r="10027" spans="1:1">
      <c r="A10027" s="22"/>
    </row>
    <row r="10028" spans="1:1">
      <c r="A10028" s="22"/>
    </row>
    <row r="10029" spans="1:1">
      <c r="A10029" s="22"/>
    </row>
    <row r="10030" spans="1:1">
      <c r="A10030" s="22"/>
    </row>
    <row r="10031" spans="1:1">
      <c r="A10031" s="22"/>
    </row>
    <row r="10032" spans="1:1">
      <c r="A10032" s="22"/>
    </row>
    <row r="10033" spans="1:1">
      <c r="A10033" s="22"/>
    </row>
    <row r="10034" spans="1:1">
      <c r="A10034" s="22"/>
    </row>
    <row r="10035" spans="1:1">
      <c r="A10035" s="22"/>
    </row>
    <row r="10036" spans="1:1">
      <c r="A10036" s="22"/>
    </row>
    <row r="10037" spans="1:1">
      <c r="A10037" s="22"/>
    </row>
    <row r="10038" spans="1:1">
      <c r="A10038" s="22"/>
    </row>
    <row r="10039" spans="1:1">
      <c r="A10039" s="22"/>
    </row>
    <row r="10040" spans="1:1">
      <c r="A10040" s="22"/>
    </row>
    <row r="10041" spans="1:1">
      <c r="A10041" s="22"/>
    </row>
    <row r="10042" spans="1:1">
      <c r="A10042" s="22"/>
    </row>
    <row r="10043" spans="1:1">
      <c r="A10043" s="22"/>
    </row>
    <row r="10044" spans="1:1">
      <c r="A10044" s="22"/>
    </row>
    <row r="10045" spans="1:1">
      <c r="A10045" s="22"/>
    </row>
    <row r="10046" spans="1:1">
      <c r="A10046" s="22"/>
    </row>
    <row r="10047" spans="1:1">
      <c r="A10047" s="22"/>
    </row>
    <row r="10048" spans="1:1">
      <c r="A10048" s="22"/>
    </row>
    <row r="10049" spans="1:1">
      <c r="A10049" s="22"/>
    </row>
    <row r="10050" spans="1:1">
      <c r="A10050" s="22"/>
    </row>
    <row r="10051" spans="1:1">
      <c r="A10051" s="22"/>
    </row>
    <row r="10052" spans="1:1">
      <c r="A10052" s="22"/>
    </row>
    <row r="10053" spans="1:1">
      <c r="A10053" s="22"/>
    </row>
    <row r="10054" spans="1:1">
      <c r="A10054" s="22"/>
    </row>
    <row r="10055" spans="1:1">
      <c r="A10055" s="22"/>
    </row>
    <row r="10056" spans="1:1">
      <c r="A10056" s="22"/>
    </row>
    <row r="10057" spans="1:1">
      <c r="A10057" s="22"/>
    </row>
    <row r="10058" spans="1:1">
      <c r="A10058" s="22"/>
    </row>
    <row r="10059" spans="1:1">
      <c r="A10059" s="22"/>
    </row>
    <row r="10060" spans="1:1">
      <c r="A10060" s="22"/>
    </row>
    <row r="10061" spans="1:1">
      <c r="A10061" s="22"/>
    </row>
    <row r="10062" spans="1:1">
      <c r="A10062" s="22"/>
    </row>
    <row r="10063" spans="1:1">
      <c r="A10063" s="22"/>
    </row>
    <row r="10064" spans="1:1">
      <c r="A10064" s="22"/>
    </row>
    <row r="10065" spans="1:1">
      <c r="A10065" s="22"/>
    </row>
    <row r="10066" spans="1:1">
      <c r="A10066" s="22"/>
    </row>
    <row r="10067" spans="1:1">
      <c r="A10067" s="22"/>
    </row>
    <row r="10068" spans="1:1">
      <c r="A10068" s="22"/>
    </row>
    <row r="10069" spans="1:1">
      <c r="A10069" s="22"/>
    </row>
    <row r="10070" spans="1:1">
      <c r="A10070" s="22"/>
    </row>
    <row r="10071" spans="1:1">
      <c r="A10071" s="22"/>
    </row>
    <row r="10072" spans="1:1">
      <c r="A10072" s="22"/>
    </row>
    <row r="10073" spans="1:1">
      <c r="A10073" s="22"/>
    </row>
    <row r="10074" spans="1:1">
      <c r="A10074" s="22"/>
    </row>
    <row r="10075" spans="1:1">
      <c r="A10075" s="22"/>
    </row>
    <row r="10076" spans="1:1">
      <c r="A10076" s="22"/>
    </row>
    <row r="10077" spans="1:1">
      <c r="A10077" s="22"/>
    </row>
    <row r="10078" spans="1:1">
      <c r="A10078" s="22"/>
    </row>
    <row r="10079" spans="1:1">
      <c r="A10079" s="22"/>
    </row>
    <row r="10080" spans="1:1">
      <c r="A10080" s="22"/>
    </row>
    <row r="10081" spans="1:1">
      <c r="A10081" s="22"/>
    </row>
    <row r="10082" spans="1:1">
      <c r="A10082" s="22"/>
    </row>
    <row r="10083" spans="1:1">
      <c r="A10083" s="22"/>
    </row>
    <row r="10084" spans="1:1">
      <c r="A10084" s="22"/>
    </row>
    <row r="10085" spans="1:1">
      <c r="A10085" s="22"/>
    </row>
    <row r="10086" spans="1:1">
      <c r="A10086" s="22"/>
    </row>
    <row r="10087" spans="1:1">
      <c r="A10087" s="22"/>
    </row>
    <row r="10088" spans="1:1">
      <c r="A10088" s="22"/>
    </row>
    <row r="10089" spans="1:1">
      <c r="A10089" s="22"/>
    </row>
    <row r="10090" spans="1:1">
      <c r="A10090" s="22"/>
    </row>
    <row r="10091" spans="1:1">
      <c r="A10091" s="22"/>
    </row>
    <row r="10092" spans="1:1">
      <c r="A10092" s="22"/>
    </row>
    <row r="10093" spans="1:1">
      <c r="A10093" s="22"/>
    </row>
    <row r="10094" spans="1:1">
      <c r="A10094" s="22"/>
    </row>
    <row r="10095" spans="1:1">
      <c r="A10095" s="22"/>
    </row>
    <row r="10096" spans="1:1">
      <c r="A10096" s="22"/>
    </row>
    <row r="10097" spans="1:1">
      <c r="A10097" s="22"/>
    </row>
    <row r="10098" spans="1:1">
      <c r="A10098" s="22"/>
    </row>
    <row r="10099" spans="1:1">
      <c r="A10099" s="22"/>
    </row>
    <row r="10100" spans="1:1">
      <c r="A10100" s="22"/>
    </row>
    <row r="10101" spans="1:1">
      <c r="A10101" s="22"/>
    </row>
    <row r="10102" spans="1:1">
      <c r="A10102" s="22"/>
    </row>
    <row r="10103" spans="1:1">
      <c r="A10103" s="22"/>
    </row>
    <row r="10104" spans="1:1">
      <c r="A10104" s="22"/>
    </row>
    <row r="10105" spans="1:1">
      <c r="A10105" s="22"/>
    </row>
    <row r="10106" spans="1:1">
      <c r="A10106" s="22"/>
    </row>
    <row r="10107" spans="1:1">
      <c r="A10107" s="22"/>
    </row>
    <row r="10108" spans="1:1">
      <c r="A10108" s="22"/>
    </row>
    <row r="10109" spans="1:1">
      <c r="A10109" s="22"/>
    </row>
    <row r="10110" spans="1:1">
      <c r="A10110" s="22"/>
    </row>
    <row r="10111" spans="1:1">
      <c r="A10111" s="22"/>
    </row>
    <row r="10112" spans="1:1">
      <c r="A10112" s="22"/>
    </row>
    <row r="10113" spans="1:1">
      <c r="A10113" s="22"/>
    </row>
    <row r="10114" spans="1:1">
      <c r="A10114" s="22"/>
    </row>
    <row r="10115" spans="1:1">
      <c r="A10115" s="22"/>
    </row>
    <row r="10116" spans="1:1">
      <c r="A10116" s="22"/>
    </row>
    <row r="10117" spans="1:1">
      <c r="A10117" s="22"/>
    </row>
    <row r="10118" spans="1:1">
      <c r="A10118" s="22"/>
    </row>
    <row r="10119" spans="1:1">
      <c r="A10119" s="22"/>
    </row>
    <row r="10120" spans="1:1">
      <c r="A10120" s="22"/>
    </row>
    <row r="10121" spans="1:1">
      <c r="A10121" s="22"/>
    </row>
    <row r="10122" spans="1:1">
      <c r="A10122" s="22"/>
    </row>
    <row r="10123" spans="1:1">
      <c r="A10123" s="22"/>
    </row>
    <row r="10124" spans="1:1">
      <c r="A10124" s="22"/>
    </row>
    <row r="10125" spans="1:1">
      <c r="A10125" s="22"/>
    </row>
    <row r="10126" spans="1:1">
      <c r="A10126" s="22"/>
    </row>
    <row r="10127" spans="1:1">
      <c r="A10127" s="22"/>
    </row>
    <row r="10128" spans="1:1">
      <c r="A10128" s="22"/>
    </row>
    <row r="10129" spans="1:1">
      <c r="A10129" s="22"/>
    </row>
    <row r="10130" spans="1:1">
      <c r="A10130" s="22"/>
    </row>
    <row r="10131" spans="1:1">
      <c r="A10131" s="22"/>
    </row>
    <row r="10132" spans="1:1">
      <c r="A10132" s="22"/>
    </row>
    <row r="10133" spans="1:1">
      <c r="A10133" s="22"/>
    </row>
    <row r="10134" spans="1:1">
      <c r="A10134" s="22"/>
    </row>
    <row r="10135" spans="1:1">
      <c r="A10135" s="22"/>
    </row>
    <row r="10136" spans="1:1">
      <c r="A10136" s="22"/>
    </row>
    <row r="10137" spans="1:1">
      <c r="A10137" s="22"/>
    </row>
    <row r="10138" spans="1:1">
      <c r="A10138" s="22"/>
    </row>
    <row r="10139" spans="1:1">
      <c r="A10139" s="22"/>
    </row>
    <row r="10140" spans="1:1">
      <c r="A10140" s="22"/>
    </row>
    <row r="10141" spans="1:1">
      <c r="A10141" s="22"/>
    </row>
    <row r="10142" spans="1:1">
      <c r="A10142" s="22"/>
    </row>
    <row r="10143" spans="1:1">
      <c r="A10143" s="22"/>
    </row>
    <row r="10144" spans="1:1">
      <c r="A10144" s="22"/>
    </row>
    <row r="10145" spans="1:1">
      <c r="A10145" s="22"/>
    </row>
    <row r="10146" spans="1:1">
      <c r="A10146" s="22"/>
    </row>
    <row r="10147" spans="1:1">
      <c r="A10147" s="22"/>
    </row>
    <row r="10148" spans="1:1">
      <c r="A10148" s="22"/>
    </row>
    <row r="10149" spans="1:1">
      <c r="A10149" s="22"/>
    </row>
    <row r="10150" spans="1:1">
      <c r="A10150" s="22"/>
    </row>
    <row r="10151" spans="1:1">
      <c r="A10151" s="22"/>
    </row>
    <row r="10152" spans="1:1">
      <c r="A10152" s="22"/>
    </row>
    <row r="10153" spans="1:1">
      <c r="A10153" s="22"/>
    </row>
    <row r="10154" spans="1:1">
      <c r="A10154" s="22"/>
    </row>
    <row r="10155" spans="1:1">
      <c r="A10155" s="22"/>
    </row>
    <row r="10156" spans="1:1">
      <c r="A10156" s="22"/>
    </row>
    <row r="10157" spans="1:1">
      <c r="A10157" s="22"/>
    </row>
    <row r="10158" spans="1:1">
      <c r="A10158" s="22"/>
    </row>
    <row r="10159" spans="1:1">
      <c r="A10159" s="22"/>
    </row>
    <row r="10160" spans="1:1">
      <c r="A10160" s="22"/>
    </row>
    <row r="10161" spans="1:1">
      <c r="A10161" s="22"/>
    </row>
    <row r="10162" spans="1:1">
      <c r="A10162" s="22"/>
    </row>
    <row r="10163" spans="1:1">
      <c r="A10163" s="22"/>
    </row>
    <row r="10164" spans="1:1">
      <c r="A10164" s="22"/>
    </row>
    <row r="10165" spans="1:1">
      <c r="A10165" s="22"/>
    </row>
    <row r="10166" spans="1:1">
      <c r="A10166" s="22"/>
    </row>
    <row r="10167" spans="1:1">
      <c r="A10167" s="22"/>
    </row>
    <row r="10168" spans="1:1">
      <c r="A10168" s="22"/>
    </row>
    <row r="10169" spans="1:1">
      <c r="A10169" s="22"/>
    </row>
    <row r="10170" spans="1:1">
      <c r="A10170" s="22"/>
    </row>
    <row r="10171" spans="1:1">
      <c r="A10171" s="22"/>
    </row>
    <row r="10172" spans="1:1">
      <c r="A10172" s="22"/>
    </row>
    <row r="10173" spans="1:1">
      <c r="A10173" s="22"/>
    </row>
    <row r="10174" spans="1:1">
      <c r="A10174" s="22"/>
    </row>
    <row r="10175" spans="1:1">
      <c r="A10175" s="22"/>
    </row>
    <row r="10176" spans="1:1">
      <c r="A10176" s="22"/>
    </row>
    <row r="10177" spans="1:1">
      <c r="A10177" s="22"/>
    </row>
    <row r="10178" spans="1:1">
      <c r="A10178" s="22"/>
    </row>
    <row r="10179" spans="1:1">
      <c r="A10179" s="22"/>
    </row>
    <row r="10180" spans="1:1">
      <c r="A10180" s="22"/>
    </row>
    <row r="10181" spans="1:1">
      <c r="A10181" s="22"/>
    </row>
    <row r="10182" spans="1:1">
      <c r="A10182" s="22"/>
    </row>
    <row r="10183" spans="1:1">
      <c r="A10183" s="22"/>
    </row>
    <row r="10184" spans="1:1">
      <c r="A10184" s="22"/>
    </row>
    <row r="10185" spans="1:1">
      <c r="A10185" s="22"/>
    </row>
    <row r="10186" spans="1:1">
      <c r="A10186" s="22"/>
    </row>
    <row r="10187" spans="1:1">
      <c r="A10187" s="22"/>
    </row>
    <row r="10188" spans="1:1">
      <c r="A10188" s="22"/>
    </row>
    <row r="10189" spans="1:1">
      <c r="A10189" s="22"/>
    </row>
    <row r="10190" spans="1:1">
      <c r="A10190" s="22"/>
    </row>
    <row r="10191" spans="1:1">
      <c r="A10191" s="22"/>
    </row>
    <row r="10192" spans="1:1">
      <c r="A10192" s="22"/>
    </row>
    <row r="10193" spans="1:1">
      <c r="A10193" s="22"/>
    </row>
    <row r="10194" spans="1:1">
      <c r="A10194" s="22"/>
    </row>
    <row r="10195" spans="1:1">
      <c r="A10195" s="22"/>
    </row>
    <row r="10196" spans="1:1">
      <c r="A10196" s="22"/>
    </row>
    <row r="10197" spans="1:1">
      <c r="A10197" s="22"/>
    </row>
    <row r="10198" spans="1:1">
      <c r="A10198" s="22"/>
    </row>
    <row r="10199" spans="1:1">
      <c r="A10199" s="22"/>
    </row>
    <row r="10200" spans="1:1">
      <c r="A10200" s="22"/>
    </row>
    <row r="10201" spans="1:1">
      <c r="A10201" s="22"/>
    </row>
    <row r="10202" spans="1:1">
      <c r="A10202" s="22"/>
    </row>
    <row r="10203" spans="1:1">
      <c r="A10203" s="22"/>
    </row>
    <row r="10204" spans="1:1">
      <c r="A10204" s="22"/>
    </row>
    <row r="10205" spans="1:1">
      <c r="A10205" s="22"/>
    </row>
    <row r="10206" spans="1:1">
      <c r="A10206" s="22"/>
    </row>
    <row r="10207" spans="1:1">
      <c r="A10207" s="22"/>
    </row>
    <row r="10208" spans="1:1">
      <c r="A10208" s="22"/>
    </row>
    <row r="10209" spans="1:1">
      <c r="A10209" s="22"/>
    </row>
    <row r="10210" spans="1:1">
      <c r="A10210" s="22"/>
    </row>
    <row r="10211" spans="1:1">
      <c r="A10211" s="22"/>
    </row>
    <row r="10212" spans="1:1">
      <c r="A10212" s="22"/>
    </row>
    <row r="10213" spans="1:1">
      <c r="A10213" s="22"/>
    </row>
    <row r="10214" spans="1:1">
      <c r="A10214" s="22"/>
    </row>
    <row r="10215" spans="1:1">
      <c r="A10215" s="22"/>
    </row>
    <row r="10216" spans="1:1">
      <c r="A10216" s="22"/>
    </row>
    <row r="10217" spans="1:1">
      <c r="A10217" s="22"/>
    </row>
    <row r="10218" spans="1:1">
      <c r="A10218" s="22"/>
    </row>
    <row r="10219" spans="1:1">
      <c r="A10219" s="22"/>
    </row>
    <row r="10220" spans="1:1">
      <c r="A10220" s="22"/>
    </row>
    <row r="10221" spans="1:1">
      <c r="A10221" s="22"/>
    </row>
    <row r="10222" spans="1:1">
      <c r="A10222" s="22"/>
    </row>
    <row r="10223" spans="1:1">
      <c r="A10223" s="22"/>
    </row>
    <row r="10224" spans="1:1">
      <c r="A10224" s="22"/>
    </row>
    <row r="10225" spans="1:1">
      <c r="A10225" s="22"/>
    </row>
    <row r="10226" spans="1:1">
      <c r="A10226" s="22"/>
    </row>
    <row r="10227" spans="1:1">
      <c r="A10227" s="22"/>
    </row>
    <row r="10228" spans="1:1">
      <c r="A10228" s="22"/>
    </row>
    <row r="10229" spans="1:1">
      <c r="A10229" s="22"/>
    </row>
    <row r="10230" spans="1:1">
      <c r="A10230" s="22"/>
    </row>
    <row r="10231" spans="1:1">
      <c r="A10231" s="22"/>
    </row>
    <row r="10232" spans="1:1">
      <c r="A10232" s="22"/>
    </row>
    <row r="10233" spans="1:1">
      <c r="A10233" s="22"/>
    </row>
    <row r="10234" spans="1:1">
      <c r="A10234" s="22"/>
    </row>
    <row r="10235" spans="1:1">
      <c r="A10235" s="22"/>
    </row>
    <row r="10236" spans="1:1">
      <c r="A10236" s="22"/>
    </row>
    <row r="10237" spans="1:1">
      <c r="A10237" s="22"/>
    </row>
    <row r="10238" spans="1:1">
      <c r="A10238" s="22"/>
    </row>
    <row r="10239" spans="1:1">
      <c r="A10239" s="22"/>
    </row>
    <row r="10240" spans="1:1">
      <c r="A10240" s="22"/>
    </row>
    <row r="10241" spans="1:1">
      <c r="A10241" s="22"/>
    </row>
    <row r="10242" spans="1:1">
      <c r="A10242" s="22"/>
    </row>
    <row r="10243" spans="1:1">
      <c r="A10243" s="22"/>
    </row>
    <row r="10244" spans="1:1">
      <c r="A10244" s="22"/>
    </row>
    <row r="10245" spans="1:1">
      <c r="A10245" s="22"/>
    </row>
    <row r="10246" spans="1:1">
      <c r="A10246" s="22"/>
    </row>
    <row r="10247" spans="1:1">
      <c r="A10247" s="22"/>
    </row>
    <row r="10248" spans="1:1">
      <c r="A10248" s="22"/>
    </row>
    <row r="10249" spans="1:1">
      <c r="A10249" s="22"/>
    </row>
    <row r="10250" spans="1:1">
      <c r="A10250" s="22"/>
    </row>
    <row r="10251" spans="1:1">
      <c r="A10251" s="22"/>
    </row>
    <row r="10252" spans="1:1">
      <c r="A10252" s="22"/>
    </row>
    <row r="10253" spans="1:1">
      <c r="A10253" s="22"/>
    </row>
    <row r="10254" spans="1:1">
      <c r="A10254" s="22"/>
    </row>
    <row r="10255" spans="1:1">
      <c r="A10255" s="22"/>
    </row>
    <row r="10256" spans="1:1">
      <c r="A10256" s="22"/>
    </row>
    <row r="10257" spans="1:1">
      <c r="A10257" s="22"/>
    </row>
    <row r="10258" spans="1:1">
      <c r="A10258" s="22"/>
    </row>
    <row r="10259" spans="1:1">
      <c r="A10259" s="22"/>
    </row>
    <row r="10260" spans="1:1">
      <c r="A10260" s="22"/>
    </row>
    <row r="10261" spans="1:1">
      <c r="A10261" s="22"/>
    </row>
    <row r="10262" spans="1:1">
      <c r="A10262" s="22"/>
    </row>
    <row r="10263" spans="1:1">
      <c r="A10263" s="22"/>
    </row>
    <row r="10264" spans="1:1">
      <c r="A10264" s="22"/>
    </row>
    <row r="10265" spans="1:1">
      <c r="A10265" s="22"/>
    </row>
    <row r="10266" spans="1:1">
      <c r="A10266" s="22"/>
    </row>
    <row r="10267" spans="1:1">
      <c r="A10267" s="22"/>
    </row>
    <row r="10268" spans="1:1">
      <c r="A10268" s="22"/>
    </row>
    <row r="10269" spans="1:1">
      <c r="A10269" s="22"/>
    </row>
    <row r="10270" spans="1:1">
      <c r="A10270" s="22"/>
    </row>
    <row r="10271" spans="1:1">
      <c r="A10271" s="22"/>
    </row>
    <row r="10272" spans="1:1">
      <c r="A10272" s="22"/>
    </row>
    <row r="10273" spans="1:1">
      <c r="A10273" s="22"/>
    </row>
    <row r="10274" spans="1:1">
      <c r="A10274" s="22"/>
    </row>
    <row r="10275" spans="1:1">
      <c r="A10275" s="22"/>
    </row>
    <row r="10276" spans="1:1">
      <c r="A10276" s="22"/>
    </row>
    <row r="10277" spans="1:1">
      <c r="A10277" s="22"/>
    </row>
    <row r="10278" spans="1:1">
      <c r="A10278" s="22"/>
    </row>
    <row r="10279" spans="1:1">
      <c r="A10279" s="22"/>
    </row>
    <row r="10280" spans="1:1">
      <c r="A10280" s="22"/>
    </row>
    <row r="10281" spans="1:1">
      <c r="A10281" s="22"/>
    </row>
    <row r="10282" spans="1:1">
      <c r="A10282" s="22"/>
    </row>
    <row r="10283" spans="1:1">
      <c r="A10283" s="22"/>
    </row>
    <row r="10284" spans="1:1">
      <c r="A10284" s="22"/>
    </row>
    <row r="10285" spans="1:1">
      <c r="A10285" s="22"/>
    </row>
    <row r="10286" spans="1:1">
      <c r="A10286" s="22"/>
    </row>
    <row r="10287" spans="1:1">
      <c r="A10287" s="22"/>
    </row>
    <row r="10288" spans="1:1">
      <c r="A10288" s="22"/>
    </row>
    <row r="10289" spans="1:1">
      <c r="A10289" s="22"/>
    </row>
    <row r="10290" spans="1:1">
      <c r="A10290" s="22"/>
    </row>
    <row r="10291" spans="1:1">
      <c r="A10291" s="22"/>
    </row>
    <row r="10292" spans="1:1">
      <c r="A10292" s="22"/>
    </row>
    <row r="10293" spans="1:1">
      <c r="A10293" s="22"/>
    </row>
    <row r="10294" spans="1:1">
      <c r="A10294" s="22"/>
    </row>
    <row r="10295" spans="1:1">
      <c r="A10295" s="22"/>
    </row>
    <row r="10296" spans="1:1">
      <c r="A10296" s="22"/>
    </row>
    <row r="10297" spans="1:1">
      <c r="A10297" s="22"/>
    </row>
    <row r="10298" spans="1:1">
      <c r="A10298" s="22"/>
    </row>
    <row r="10299" spans="1:1">
      <c r="A10299" s="22"/>
    </row>
    <row r="10300" spans="1:1">
      <c r="A10300" s="22"/>
    </row>
    <row r="10301" spans="1:1">
      <c r="A10301" s="22"/>
    </row>
    <row r="10302" spans="1:1">
      <c r="A10302" s="22"/>
    </row>
    <row r="10303" spans="1:1">
      <c r="A10303" s="22"/>
    </row>
    <row r="10304" spans="1:1">
      <c r="A10304" s="22"/>
    </row>
    <row r="10305" spans="1:1">
      <c r="A10305" s="22"/>
    </row>
    <row r="10306" spans="1:1">
      <c r="A10306" s="22"/>
    </row>
    <row r="10307" spans="1:1">
      <c r="A10307" s="22"/>
    </row>
    <row r="10308" spans="1:1">
      <c r="A10308" s="22"/>
    </row>
    <row r="10309" spans="1:1">
      <c r="A10309" s="22"/>
    </row>
    <row r="10310" spans="1:1">
      <c r="A10310" s="22"/>
    </row>
    <row r="10311" spans="1:1">
      <c r="A10311" s="22"/>
    </row>
    <row r="10312" spans="1:1">
      <c r="A10312" s="22"/>
    </row>
    <row r="10313" spans="1:1">
      <c r="A10313" s="22"/>
    </row>
    <row r="10314" spans="1:1">
      <c r="A10314" s="22"/>
    </row>
    <row r="10315" spans="1:1">
      <c r="A10315" s="22"/>
    </row>
    <row r="10316" spans="1:1">
      <c r="A10316" s="22"/>
    </row>
    <row r="10317" spans="1:1">
      <c r="A10317" s="22"/>
    </row>
    <row r="10318" spans="1:1">
      <c r="A10318" s="22"/>
    </row>
    <row r="10319" spans="1:1">
      <c r="A10319" s="22"/>
    </row>
    <row r="10320" spans="1:1">
      <c r="A10320" s="22"/>
    </row>
    <row r="10321" spans="1:1">
      <c r="A10321" s="22"/>
    </row>
    <row r="10322" spans="1:1">
      <c r="A10322" s="22"/>
    </row>
    <row r="10323" spans="1:1">
      <c r="A10323" s="22"/>
    </row>
    <row r="10324" spans="1:1">
      <c r="A10324" s="22"/>
    </row>
    <row r="10325" spans="1:1">
      <c r="A10325" s="22"/>
    </row>
    <row r="10326" spans="1:1">
      <c r="A10326" s="22"/>
    </row>
    <row r="10327" spans="1:1">
      <c r="A10327" s="22"/>
    </row>
    <row r="10328" spans="1:1">
      <c r="A10328" s="22"/>
    </row>
    <row r="10329" spans="1:1">
      <c r="A10329" s="22"/>
    </row>
    <row r="10330" spans="1:1">
      <c r="A10330" s="22"/>
    </row>
    <row r="10331" spans="1:1">
      <c r="A10331" s="22"/>
    </row>
    <row r="10332" spans="1:1">
      <c r="A10332" s="22"/>
    </row>
    <row r="10333" spans="1:1">
      <c r="A10333" s="22"/>
    </row>
    <row r="10334" spans="1:1">
      <c r="A10334" s="22"/>
    </row>
    <row r="10335" spans="1:1">
      <c r="A10335" s="22"/>
    </row>
    <row r="10336" spans="1:1">
      <c r="A10336" s="22"/>
    </row>
    <row r="10337" spans="1:1">
      <c r="A10337" s="22"/>
    </row>
    <row r="10338" spans="1:1">
      <c r="A10338" s="22"/>
    </row>
    <row r="10339" spans="1:1">
      <c r="A10339" s="22"/>
    </row>
    <row r="10340" spans="1:1">
      <c r="A10340" s="22"/>
    </row>
    <row r="10341" spans="1:1">
      <c r="A10341" s="22"/>
    </row>
    <row r="10342" spans="1:1">
      <c r="A10342" s="22"/>
    </row>
    <row r="10343" spans="1:1">
      <c r="A10343" s="22"/>
    </row>
    <row r="10344" spans="1:1">
      <c r="A10344" s="22"/>
    </row>
    <row r="10345" spans="1:1">
      <c r="A10345" s="22"/>
    </row>
    <row r="10346" spans="1:1">
      <c r="A10346" s="22"/>
    </row>
    <row r="10347" spans="1:1">
      <c r="A10347" s="22"/>
    </row>
    <row r="10348" spans="1:1">
      <c r="A10348" s="22"/>
    </row>
    <row r="10349" spans="1:1">
      <c r="A10349" s="22"/>
    </row>
    <row r="10350" spans="1:1">
      <c r="A10350" s="22"/>
    </row>
    <row r="10351" spans="1:1">
      <c r="A10351" s="22"/>
    </row>
    <row r="10352" spans="1:1">
      <c r="A10352" s="22"/>
    </row>
    <row r="10353" spans="1:1">
      <c r="A10353" s="22"/>
    </row>
    <row r="10354" spans="1:1">
      <c r="A10354" s="22"/>
    </row>
    <row r="10355" spans="1:1">
      <c r="A10355" s="22"/>
    </row>
    <row r="10356" spans="1:1">
      <c r="A10356" s="22"/>
    </row>
    <row r="10357" spans="1:1">
      <c r="A10357" s="22"/>
    </row>
    <row r="10358" spans="1:1">
      <c r="A10358" s="22"/>
    </row>
    <row r="10359" spans="1:1">
      <c r="A10359" s="22"/>
    </row>
    <row r="10360" spans="1:1">
      <c r="A10360" s="22"/>
    </row>
    <row r="10361" spans="1:1">
      <c r="A10361" s="22"/>
    </row>
    <row r="10362" spans="1:1">
      <c r="A10362" s="22"/>
    </row>
    <row r="10363" spans="1:1">
      <c r="A10363" s="22"/>
    </row>
    <row r="10364" spans="1:1">
      <c r="A10364" s="22"/>
    </row>
    <row r="10365" spans="1:1">
      <c r="A10365" s="22"/>
    </row>
    <row r="10366" spans="1:1">
      <c r="A10366" s="22"/>
    </row>
    <row r="10367" spans="1:1">
      <c r="A10367" s="22"/>
    </row>
    <row r="10368" spans="1:1">
      <c r="A10368" s="22"/>
    </row>
    <row r="10369" spans="1:1">
      <c r="A10369" s="22"/>
    </row>
    <row r="10370" spans="1:1">
      <c r="A10370" s="22"/>
    </row>
    <row r="10371" spans="1:1">
      <c r="A10371" s="22"/>
    </row>
    <row r="10372" spans="1:1">
      <c r="A10372" s="22"/>
    </row>
    <row r="10373" spans="1:1">
      <c r="A10373" s="22"/>
    </row>
    <row r="10374" spans="1:1">
      <c r="A10374" s="22"/>
    </row>
    <row r="10375" spans="1:1">
      <c r="A10375" s="22"/>
    </row>
    <row r="10376" spans="1:1">
      <c r="A10376" s="22"/>
    </row>
    <row r="10377" spans="1:1">
      <c r="A10377" s="22"/>
    </row>
    <row r="10378" spans="1:1">
      <c r="A10378" s="22"/>
    </row>
    <row r="10379" spans="1:1">
      <c r="A10379" s="22"/>
    </row>
    <row r="10380" spans="1:1">
      <c r="A10380" s="22"/>
    </row>
    <row r="10381" spans="1:1">
      <c r="A10381" s="22"/>
    </row>
    <row r="10382" spans="1:1">
      <c r="A10382" s="22"/>
    </row>
    <row r="10383" spans="1:1">
      <c r="A10383" s="22"/>
    </row>
    <row r="10384" spans="1:1">
      <c r="A10384" s="22"/>
    </row>
    <row r="10385" spans="1:1">
      <c r="A10385" s="22"/>
    </row>
    <row r="10386" spans="1:1">
      <c r="A10386" s="22"/>
    </row>
    <row r="10387" spans="1:1">
      <c r="A10387" s="22"/>
    </row>
    <row r="10388" spans="1:1">
      <c r="A10388" s="22"/>
    </row>
    <row r="10389" spans="1:1">
      <c r="A10389" s="22"/>
    </row>
    <row r="10390" spans="1:1">
      <c r="A10390" s="22"/>
    </row>
    <row r="10391" spans="1:1">
      <c r="A10391" s="22"/>
    </row>
    <row r="10392" spans="1:1">
      <c r="A10392" s="22"/>
    </row>
    <row r="10393" spans="1:1">
      <c r="A10393" s="22"/>
    </row>
    <row r="10394" spans="1:1">
      <c r="A10394" s="22"/>
    </row>
    <row r="10395" spans="1:1">
      <c r="A10395" s="22"/>
    </row>
    <row r="10396" spans="1:1">
      <c r="A10396" s="22"/>
    </row>
    <row r="10397" spans="1:1">
      <c r="A10397" s="22"/>
    </row>
    <row r="10398" spans="1:1">
      <c r="A10398" s="22"/>
    </row>
    <row r="10399" spans="1:1">
      <c r="A10399" s="22"/>
    </row>
    <row r="10400" spans="1:1">
      <c r="A10400" s="22"/>
    </row>
    <row r="10401" spans="1:1">
      <c r="A10401" s="22"/>
    </row>
    <row r="10402" spans="1:1">
      <c r="A10402" s="22"/>
    </row>
    <row r="10403" spans="1:1">
      <c r="A10403" s="22"/>
    </row>
    <row r="10404" spans="1:1">
      <c r="A10404" s="22"/>
    </row>
    <row r="10405" spans="1:1">
      <c r="A10405" s="22"/>
    </row>
    <row r="10406" spans="1:1">
      <c r="A10406" s="22"/>
    </row>
    <row r="10407" spans="1:1">
      <c r="A10407" s="22"/>
    </row>
    <row r="10408" spans="1:1">
      <c r="A10408" s="22"/>
    </row>
    <row r="10409" spans="1:1">
      <c r="A10409" s="22"/>
    </row>
    <row r="10410" spans="1:1">
      <c r="A10410" s="22"/>
    </row>
    <row r="10411" spans="1:1">
      <c r="A10411" s="22"/>
    </row>
    <row r="10412" spans="1:1">
      <c r="A10412" s="22"/>
    </row>
    <row r="10413" spans="1:1">
      <c r="A10413" s="22"/>
    </row>
    <row r="10414" spans="1:1">
      <c r="A10414" s="22"/>
    </row>
    <row r="10415" spans="1:1">
      <c r="A10415" s="22"/>
    </row>
    <row r="10416" spans="1:1">
      <c r="A10416" s="22"/>
    </row>
    <row r="10417" spans="1:1">
      <c r="A10417" s="22"/>
    </row>
    <row r="10418" spans="1:1">
      <c r="A10418" s="22"/>
    </row>
    <row r="10419" spans="1:1">
      <c r="A10419" s="22"/>
    </row>
    <row r="10420" spans="1:1">
      <c r="A10420" s="22"/>
    </row>
    <row r="10421" spans="1:1">
      <c r="A10421" s="22"/>
    </row>
    <row r="10422" spans="1:1">
      <c r="A10422" s="22"/>
    </row>
    <row r="10423" spans="1:1">
      <c r="A10423" s="22"/>
    </row>
    <row r="10424" spans="1:1">
      <c r="A10424" s="22"/>
    </row>
    <row r="10425" spans="1:1">
      <c r="A10425" s="22"/>
    </row>
    <row r="10426" spans="1:1">
      <c r="A10426" s="22"/>
    </row>
    <row r="10427" spans="1:1">
      <c r="A10427" s="22"/>
    </row>
    <row r="10428" spans="1:1">
      <c r="A10428" s="22"/>
    </row>
    <row r="10429" spans="1:1">
      <c r="A10429" s="22"/>
    </row>
    <row r="10430" spans="1:1">
      <c r="A10430" s="22"/>
    </row>
    <row r="10431" spans="1:1">
      <c r="A10431" s="22"/>
    </row>
    <row r="10432" spans="1:1">
      <c r="A10432" s="22"/>
    </row>
    <row r="10433" spans="1:1">
      <c r="A10433" s="22"/>
    </row>
    <row r="10434" spans="1:1">
      <c r="A10434" s="22"/>
    </row>
    <row r="10435" spans="1:1">
      <c r="A10435" s="22"/>
    </row>
    <row r="10436" spans="1:1">
      <c r="A10436" s="22"/>
    </row>
    <row r="10437" spans="1:1">
      <c r="A10437" s="22"/>
    </row>
    <row r="10438" spans="1:1">
      <c r="A10438" s="22"/>
    </row>
    <row r="10439" spans="1:1">
      <c r="A10439" s="22"/>
    </row>
    <row r="10440" spans="1:1">
      <c r="A10440" s="22"/>
    </row>
    <row r="10441" spans="1:1">
      <c r="A10441" s="22"/>
    </row>
    <row r="10442" spans="1:1">
      <c r="A10442" s="22"/>
    </row>
    <row r="10443" spans="1:1">
      <c r="A10443" s="22"/>
    </row>
    <row r="10444" spans="1:1">
      <c r="A10444" s="22"/>
    </row>
    <row r="10445" spans="1:1">
      <c r="A10445" s="22"/>
    </row>
    <row r="10446" spans="1:1">
      <c r="A10446" s="22"/>
    </row>
    <row r="10447" spans="1:1">
      <c r="A10447" s="22"/>
    </row>
    <row r="10448" spans="1:1">
      <c r="A10448" s="22"/>
    </row>
    <row r="10449" spans="1:1">
      <c r="A10449" s="22"/>
    </row>
    <row r="10450" spans="1:1">
      <c r="A10450" s="22"/>
    </row>
    <row r="10451" spans="1:1">
      <c r="A10451" s="22"/>
    </row>
    <row r="10452" spans="1:1">
      <c r="A10452" s="22"/>
    </row>
    <row r="10453" spans="1:1">
      <c r="A10453" s="22"/>
    </row>
    <row r="10454" spans="1:1">
      <c r="A10454" s="22"/>
    </row>
    <row r="10455" spans="1:1">
      <c r="A10455" s="22"/>
    </row>
    <row r="10456" spans="1:1">
      <c r="A10456" s="22"/>
    </row>
    <row r="10457" spans="1:1">
      <c r="A10457" s="22"/>
    </row>
    <row r="10458" spans="1:1">
      <c r="A10458" s="22"/>
    </row>
    <row r="10459" spans="1:1">
      <c r="A10459" s="22"/>
    </row>
    <row r="10460" spans="1:1">
      <c r="A10460" s="22"/>
    </row>
    <row r="10461" spans="1:1">
      <c r="A10461" s="22"/>
    </row>
    <row r="10462" spans="1:1">
      <c r="A10462" s="22"/>
    </row>
    <row r="10463" spans="1:1">
      <c r="A10463" s="22"/>
    </row>
    <row r="10464" spans="1:1">
      <c r="A10464" s="22"/>
    </row>
    <row r="10465" spans="1:1">
      <c r="A10465" s="22"/>
    </row>
    <row r="10466" spans="1:1">
      <c r="A10466" s="22"/>
    </row>
    <row r="10467" spans="1:1">
      <c r="A10467" s="22"/>
    </row>
    <row r="10468" spans="1:1">
      <c r="A10468" s="22"/>
    </row>
    <row r="10469" spans="1:1">
      <c r="A10469" s="22"/>
    </row>
    <row r="10470" spans="1:1">
      <c r="A10470" s="22"/>
    </row>
    <row r="10471" spans="1:1">
      <c r="A10471" s="22"/>
    </row>
    <row r="10472" spans="1:1">
      <c r="A10472" s="22"/>
    </row>
    <row r="10473" spans="1:1">
      <c r="A10473" s="22"/>
    </row>
    <row r="10474" spans="1:1">
      <c r="A10474" s="22"/>
    </row>
    <row r="10475" spans="1:1">
      <c r="A10475" s="22"/>
    </row>
    <row r="10476" spans="1:1">
      <c r="A10476" s="22"/>
    </row>
    <row r="10477" spans="1:1">
      <c r="A10477" s="22"/>
    </row>
    <row r="10478" spans="1:1">
      <c r="A10478" s="22"/>
    </row>
    <row r="10479" spans="1:1">
      <c r="A10479" s="22"/>
    </row>
    <row r="10480" spans="1:1">
      <c r="A10480" s="22"/>
    </row>
    <row r="10481" spans="1:1">
      <c r="A10481" s="22"/>
    </row>
    <row r="10482" spans="1:1">
      <c r="A10482" s="22"/>
    </row>
    <row r="10483" spans="1:1">
      <c r="A10483" s="22"/>
    </row>
    <row r="10484" spans="1:1">
      <c r="A10484" s="22"/>
    </row>
    <row r="10485" spans="1:1">
      <c r="A10485" s="22"/>
    </row>
    <row r="10486" spans="1:1">
      <c r="A10486" s="22"/>
    </row>
    <row r="10487" spans="1:1">
      <c r="A10487" s="22"/>
    </row>
    <row r="10488" spans="1:1">
      <c r="A10488" s="22"/>
    </row>
    <row r="10489" spans="1:1">
      <c r="A10489" s="22"/>
    </row>
    <row r="10490" spans="1:1">
      <c r="A10490" s="22"/>
    </row>
    <row r="10491" spans="1:1">
      <c r="A10491" s="22"/>
    </row>
    <row r="10492" spans="1:1">
      <c r="A10492" s="22"/>
    </row>
    <row r="10493" spans="1:1">
      <c r="A10493" s="22"/>
    </row>
    <row r="10494" spans="1:1">
      <c r="A10494" s="22"/>
    </row>
    <row r="10495" spans="1:1">
      <c r="A10495" s="22"/>
    </row>
    <row r="10496" spans="1:1">
      <c r="A10496" s="22"/>
    </row>
    <row r="10497" spans="1:1">
      <c r="A10497" s="22"/>
    </row>
    <row r="10498" spans="1:1">
      <c r="A10498" s="22"/>
    </row>
    <row r="10499" spans="1:1">
      <c r="A10499" s="22"/>
    </row>
    <row r="10500" spans="1:1">
      <c r="A10500" s="22"/>
    </row>
    <row r="10501" spans="1:1">
      <c r="A10501" s="22"/>
    </row>
    <row r="10502" spans="1:1">
      <c r="A10502" s="22"/>
    </row>
    <row r="10503" spans="1:1">
      <c r="A10503" s="22"/>
    </row>
    <row r="10504" spans="1:1">
      <c r="A10504" s="22"/>
    </row>
    <row r="10505" spans="1:1">
      <c r="A10505" s="22"/>
    </row>
    <row r="10506" spans="1:1">
      <c r="A10506" s="22"/>
    </row>
    <row r="10507" spans="1:1">
      <c r="A10507" s="22"/>
    </row>
    <row r="10508" spans="1:1">
      <c r="A10508" s="22"/>
    </row>
    <row r="10509" spans="1:1">
      <c r="A10509" s="22"/>
    </row>
    <row r="10510" spans="1:1">
      <c r="A10510" s="22"/>
    </row>
    <row r="10511" spans="1:1">
      <c r="A10511" s="22"/>
    </row>
    <row r="10512" spans="1:1">
      <c r="A10512" s="22"/>
    </row>
    <row r="10513" spans="1:1">
      <c r="A10513" s="22"/>
    </row>
    <row r="10514" spans="1:1">
      <c r="A10514" s="22"/>
    </row>
    <row r="10515" spans="1:1">
      <c r="A10515" s="22"/>
    </row>
    <row r="10516" spans="1:1">
      <c r="A10516" s="22"/>
    </row>
    <row r="10517" spans="1:1">
      <c r="A10517" s="22"/>
    </row>
    <row r="10518" spans="1:1">
      <c r="A10518" s="22"/>
    </row>
    <row r="10519" spans="1:1">
      <c r="A10519" s="22"/>
    </row>
    <row r="10520" spans="1:1">
      <c r="A10520" s="22"/>
    </row>
    <row r="10521" spans="1:1">
      <c r="A10521" s="22"/>
    </row>
    <row r="10522" spans="1:1">
      <c r="A10522" s="22"/>
    </row>
    <row r="10523" spans="1:1">
      <c r="A10523" s="22"/>
    </row>
    <row r="10524" spans="1:1">
      <c r="A10524" s="22"/>
    </row>
    <row r="10525" spans="1:1">
      <c r="A10525" s="22"/>
    </row>
    <row r="10526" spans="1:1">
      <c r="A10526" s="22"/>
    </row>
    <row r="10527" spans="1:1">
      <c r="A10527" s="22"/>
    </row>
    <row r="10528" spans="1:1">
      <c r="A10528" s="22"/>
    </row>
    <row r="10529" spans="1:1">
      <c r="A10529" s="22"/>
    </row>
    <row r="10530" spans="1:1">
      <c r="A10530" s="22"/>
    </row>
    <row r="10531" spans="1:1">
      <c r="A10531" s="22"/>
    </row>
    <row r="10532" spans="1:1">
      <c r="A10532" s="22"/>
    </row>
    <row r="10533" spans="1:1">
      <c r="A10533" s="22"/>
    </row>
    <row r="10534" spans="1:1">
      <c r="A10534" s="22"/>
    </row>
    <row r="10535" spans="1:1">
      <c r="A10535" s="22"/>
    </row>
    <row r="10536" spans="1:1">
      <c r="A10536" s="22"/>
    </row>
    <row r="10537" spans="1:1">
      <c r="A10537" s="22"/>
    </row>
    <row r="10538" spans="1:1">
      <c r="A10538" s="22"/>
    </row>
    <row r="10539" spans="1:1">
      <c r="A10539" s="22"/>
    </row>
    <row r="10540" spans="1:1">
      <c r="A10540" s="22"/>
    </row>
    <row r="10541" spans="1:1">
      <c r="A10541" s="22"/>
    </row>
    <row r="10542" spans="1:1">
      <c r="A10542" s="22"/>
    </row>
    <row r="10543" spans="1:1">
      <c r="A10543" s="22"/>
    </row>
    <row r="10544" spans="1:1">
      <c r="A10544" s="22"/>
    </row>
    <row r="10545" spans="1:1">
      <c r="A10545" s="22"/>
    </row>
    <row r="10546" spans="1:1">
      <c r="A10546" s="22"/>
    </row>
    <row r="10547" spans="1:1">
      <c r="A10547" s="22"/>
    </row>
    <row r="10548" spans="1:1">
      <c r="A10548" s="22"/>
    </row>
    <row r="10549" spans="1:1">
      <c r="A10549" s="22"/>
    </row>
    <row r="10550" spans="1:1">
      <c r="A10550" s="22"/>
    </row>
    <row r="10551" spans="1:1">
      <c r="A10551" s="22"/>
    </row>
    <row r="10552" spans="1:1">
      <c r="A10552" s="22"/>
    </row>
    <row r="10553" spans="1:1">
      <c r="A10553" s="22"/>
    </row>
    <row r="10554" spans="1:1">
      <c r="A10554" s="22"/>
    </row>
    <row r="10555" spans="1:1">
      <c r="A10555" s="22"/>
    </row>
    <row r="10556" spans="1:1">
      <c r="A10556" s="22"/>
    </row>
    <row r="10557" spans="1:1">
      <c r="A10557" s="22"/>
    </row>
    <row r="10558" spans="1:1">
      <c r="A10558" s="22"/>
    </row>
    <row r="10559" spans="1:1">
      <c r="A10559" s="22"/>
    </row>
    <row r="10560" spans="1:1">
      <c r="A10560" s="22"/>
    </row>
    <row r="10561" spans="1:1">
      <c r="A10561" s="22"/>
    </row>
    <row r="10562" spans="1:1">
      <c r="A10562" s="22"/>
    </row>
    <row r="10563" spans="1:1">
      <c r="A10563" s="22"/>
    </row>
    <row r="10564" spans="1:1">
      <c r="A10564" s="22"/>
    </row>
    <row r="10565" spans="1:1">
      <c r="A10565" s="22"/>
    </row>
    <row r="10566" spans="1:1">
      <c r="A10566" s="22"/>
    </row>
    <row r="10567" spans="1:1">
      <c r="A10567" s="22"/>
    </row>
    <row r="10568" spans="1:1">
      <c r="A10568" s="22"/>
    </row>
    <row r="10569" spans="1:1">
      <c r="A10569" s="22"/>
    </row>
    <row r="10570" spans="1:1">
      <c r="A10570" s="22"/>
    </row>
    <row r="10571" spans="1:1">
      <c r="A10571" s="22"/>
    </row>
    <row r="10572" spans="1:1">
      <c r="A10572" s="22"/>
    </row>
    <row r="10573" spans="1:1">
      <c r="A10573" s="22"/>
    </row>
    <row r="10574" spans="1:1">
      <c r="A10574" s="22"/>
    </row>
    <row r="10575" spans="1:1">
      <c r="A10575" s="22"/>
    </row>
    <row r="10576" spans="1:1">
      <c r="A10576" s="22"/>
    </row>
    <row r="10577" spans="1:1">
      <c r="A10577" s="22"/>
    </row>
    <row r="10578" spans="1:1">
      <c r="A10578" s="22"/>
    </row>
    <row r="10579" spans="1:1">
      <c r="A10579" s="22"/>
    </row>
    <row r="10580" spans="1:1">
      <c r="A10580" s="22"/>
    </row>
    <row r="10581" spans="1:1">
      <c r="A10581" s="22"/>
    </row>
    <row r="10582" spans="1:1">
      <c r="A10582" s="22"/>
    </row>
    <row r="10583" spans="1:1">
      <c r="A10583" s="22"/>
    </row>
    <row r="10584" spans="1:1">
      <c r="A10584" s="22"/>
    </row>
    <row r="10585" spans="1:1">
      <c r="A10585" s="22"/>
    </row>
    <row r="10586" spans="1:1">
      <c r="A10586" s="22"/>
    </row>
    <row r="10587" spans="1:1">
      <c r="A10587" s="22"/>
    </row>
    <row r="10588" spans="1:1">
      <c r="A10588" s="22"/>
    </row>
    <row r="10589" spans="1:1">
      <c r="A10589" s="22"/>
    </row>
    <row r="10590" spans="1:1">
      <c r="A10590" s="22"/>
    </row>
    <row r="10591" spans="1:1">
      <c r="A10591" s="22"/>
    </row>
    <row r="10592" spans="1:1">
      <c r="A10592" s="22"/>
    </row>
    <row r="10593" spans="1:1">
      <c r="A10593" s="22"/>
    </row>
    <row r="10594" spans="1:1">
      <c r="A10594" s="22"/>
    </row>
    <row r="10595" spans="1:1">
      <c r="A10595" s="22"/>
    </row>
    <row r="10596" spans="1:1">
      <c r="A10596" s="22"/>
    </row>
    <row r="10597" spans="1:1">
      <c r="A10597" s="22"/>
    </row>
    <row r="10598" spans="1:1">
      <c r="A10598" s="22"/>
    </row>
    <row r="10599" spans="1:1">
      <c r="A10599" s="22"/>
    </row>
    <row r="10600" spans="1:1">
      <c r="A10600" s="22"/>
    </row>
    <row r="10601" spans="1:1">
      <c r="A10601" s="22"/>
    </row>
    <row r="10602" spans="1:1">
      <c r="A10602" s="22"/>
    </row>
    <row r="10603" spans="1:1">
      <c r="A10603" s="22"/>
    </row>
    <row r="10604" spans="1:1">
      <c r="A10604" s="22"/>
    </row>
    <row r="10605" spans="1:1">
      <c r="A10605" s="22"/>
    </row>
    <row r="10606" spans="1:1">
      <c r="A10606" s="22"/>
    </row>
    <row r="10607" spans="1:1">
      <c r="A10607" s="22"/>
    </row>
    <row r="10608" spans="1:1">
      <c r="A10608" s="22"/>
    </row>
    <row r="10609" spans="1:1">
      <c r="A10609" s="22"/>
    </row>
    <row r="10610" spans="1:1">
      <c r="A10610" s="22"/>
    </row>
    <row r="10611" spans="1:1">
      <c r="A10611" s="22"/>
    </row>
    <row r="10612" spans="1:1">
      <c r="A10612" s="22"/>
    </row>
    <row r="10613" spans="1:1">
      <c r="A10613" s="22"/>
    </row>
    <row r="10614" spans="1:1">
      <c r="A10614" s="22"/>
    </row>
    <row r="10615" spans="1:1">
      <c r="A10615" s="22"/>
    </row>
    <row r="10616" spans="1:1">
      <c r="A10616" s="22"/>
    </row>
    <row r="10617" spans="1:1">
      <c r="A10617" s="22"/>
    </row>
    <row r="10618" spans="1:1">
      <c r="A10618" s="22"/>
    </row>
    <row r="10619" spans="1:1">
      <c r="A10619" s="22"/>
    </row>
    <row r="10620" spans="1:1">
      <c r="A10620" s="22"/>
    </row>
    <row r="10621" spans="1:1">
      <c r="A10621" s="22"/>
    </row>
    <row r="10622" spans="1:1">
      <c r="A10622" s="22"/>
    </row>
    <row r="10623" spans="1:1">
      <c r="A10623" s="22"/>
    </row>
    <row r="10624" spans="1:1">
      <c r="A10624" s="22"/>
    </row>
    <row r="10625" spans="1:1">
      <c r="A10625" s="22"/>
    </row>
    <row r="10626" spans="1:1">
      <c r="A10626" s="22"/>
    </row>
    <row r="10627" spans="1:1">
      <c r="A10627" s="22"/>
    </row>
    <row r="10628" spans="1:1">
      <c r="A10628" s="22"/>
    </row>
    <row r="10629" spans="1:1">
      <c r="A10629" s="22"/>
    </row>
    <row r="10630" spans="1:1">
      <c r="A10630" s="22"/>
    </row>
    <row r="10631" spans="1:1">
      <c r="A10631" s="22"/>
    </row>
    <row r="10632" spans="1:1">
      <c r="A10632" s="22"/>
    </row>
    <row r="10633" spans="1:1">
      <c r="A10633" s="22"/>
    </row>
    <row r="10634" spans="1:1">
      <c r="A10634" s="22"/>
    </row>
    <row r="10635" spans="1:1">
      <c r="A10635" s="22"/>
    </row>
    <row r="10636" spans="1:1">
      <c r="A10636" s="22"/>
    </row>
    <row r="10637" spans="1:1">
      <c r="A10637" s="22"/>
    </row>
    <row r="10638" spans="1:1">
      <c r="A10638" s="22"/>
    </row>
    <row r="10639" spans="1:1">
      <c r="A10639" s="22"/>
    </row>
    <row r="10640" spans="1:1">
      <c r="A10640" s="22"/>
    </row>
    <row r="10641" spans="1:1">
      <c r="A10641" s="22"/>
    </row>
    <row r="10642" spans="1:1">
      <c r="A10642" s="22"/>
    </row>
    <row r="10643" spans="1:1">
      <c r="A10643" s="22"/>
    </row>
    <row r="10644" spans="1:1">
      <c r="A10644" s="22"/>
    </row>
    <row r="10645" spans="1:1">
      <c r="A10645" s="22"/>
    </row>
    <row r="10646" spans="1:1">
      <c r="A10646" s="22"/>
    </row>
    <row r="10647" spans="1:1">
      <c r="A10647" s="22"/>
    </row>
    <row r="10648" spans="1:1">
      <c r="A10648" s="22"/>
    </row>
    <row r="10649" spans="1:1">
      <c r="A10649" s="22"/>
    </row>
    <row r="10650" spans="1:1">
      <c r="A10650" s="22"/>
    </row>
    <row r="10651" spans="1:1">
      <c r="A10651" s="22"/>
    </row>
    <row r="10652" spans="1:1">
      <c r="A10652" s="22"/>
    </row>
    <row r="10653" spans="1:1">
      <c r="A10653" s="22"/>
    </row>
    <row r="10654" spans="1:1">
      <c r="A10654" s="22"/>
    </row>
    <row r="10655" spans="1:1">
      <c r="A10655" s="22"/>
    </row>
    <row r="10656" spans="1:1">
      <c r="A10656" s="22"/>
    </row>
    <row r="10657" spans="1:1">
      <c r="A10657" s="22"/>
    </row>
    <row r="10658" spans="1:1">
      <c r="A10658" s="22"/>
    </row>
    <row r="10659" spans="1:1">
      <c r="A10659" s="22"/>
    </row>
    <row r="10660" spans="1:1">
      <c r="A10660" s="22"/>
    </row>
    <row r="10661" spans="1:1">
      <c r="A10661" s="22"/>
    </row>
    <row r="10662" spans="1:1">
      <c r="A10662" s="22"/>
    </row>
    <row r="10663" spans="1:1">
      <c r="A10663" s="22"/>
    </row>
    <row r="10664" spans="1:1">
      <c r="A10664" s="22"/>
    </row>
    <row r="10665" spans="1:1">
      <c r="A10665" s="22"/>
    </row>
    <row r="10666" spans="1:1">
      <c r="A10666" s="22"/>
    </row>
    <row r="10667" spans="1:1">
      <c r="A10667" s="22"/>
    </row>
    <row r="10668" spans="1:1">
      <c r="A10668" s="22"/>
    </row>
    <row r="10669" spans="1:1">
      <c r="A10669" s="22"/>
    </row>
    <row r="10670" spans="1:1">
      <c r="A10670" s="22"/>
    </row>
    <row r="10671" spans="1:1">
      <c r="A10671" s="22"/>
    </row>
    <row r="10672" spans="1:1">
      <c r="A10672" s="22"/>
    </row>
    <row r="10673" spans="1:1">
      <c r="A10673" s="22"/>
    </row>
    <row r="10674" spans="1:1">
      <c r="A10674" s="22"/>
    </row>
    <row r="10675" spans="1:1">
      <c r="A10675" s="22"/>
    </row>
    <row r="10676" spans="1:1">
      <c r="A10676" s="22"/>
    </row>
    <row r="10677" spans="1:1">
      <c r="A10677" s="22"/>
    </row>
    <row r="10678" spans="1:1">
      <c r="A10678" s="22"/>
    </row>
    <row r="10679" spans="1:1">
      <c r="A10679" s="22"/>
    </row>
    <row r="10680" spans="1:1">
      <c r="A10680" s="22"/>
    </row>
    <row r="10681" spans="1:1">
      <c r="A10681" s="22"/>
    </row>
    <row r="10682" spans="1:1">
      <c r="A10682" s="22"/>
    </row>
    <row r="10683" spans="1:1">
      <c r="A10683" s="22"/>
    </row>
    <row r="10684" spans="1:1">
      <c r="A10684" s="22"/>
    </row>
    <row r="10685" spans="1:1">
      <c r="A10685" s="22"/>
    </row>
    <row r="10686" spans="1:1">
      <c r="A10686" s="22"/>
    </row>
    <row r="10687" spans="1:1">
      <c r="A10687" s="22"/>
    </row>
    <row r="10688" spans="1:1">
      <c r="A10688" s="22"/>
    </row>
    <row r="10689" spans="1:1">
      <c r="A10689" s="22"/>
    </row>
    <row r="10690" spans="1:1">
      <c r="A10690" s="22"/>
    </row>
    <row r="10691" spans="1:1">
      <c r="A10691" s="22"/>
    </row>
    <row r="10692" spans="1:1">
      <c r="A10692" s="22"/>
    </row>
    <row r="10693" spans="1:1">
      <c r="A10693" s="22"/>
    </row>
    <row r="10694" spans="1:1">
      <c r="A10694" s="22"/>
    </row>
    <row r="10695" spans="1:1">
      <c r="A10695" s="22"/>
    </row>
    <row r="10696" spans="1:1">
      <c r="A10696" s="22"/>
    </row>
    <row r="10697" spans="1:1">
      <c r="A10697" s="22"/>
    </row>
    <row r="10698" spans="1:1">
      <c r="A10698" s="22"/>
    </row>
    <row r="10699" spans="1:1">
      <c r="A10699" s="22"/>
    </row>
    <row r="10700" spans="1:1">
      <c r="A10700" s="22"/>
    </row>
    <row r="10701" spans="1:1">
      <c r="A10701" s="22"/>
    </row>
    <row r="10702" spans="1:1">
      <c r="A10702" s="22"/>
    </row>
    <row r="10703" spans="1:1">
      <c r="A10703" s="22"/>
    </row>
    <row r="10704" spans="1:1">
      <c r="A10704" s="22"/>
    </row>
    <row r="10705" spans="1:1">
      <c r="A10705" s="22"/>
    </row>
    <row r="10706" spans="1:1">
      <c r="A10706" s="22"/>
    </row>
    <row r="10707" spans="1:1">
      <c r="A10707" s="22"/>
    </row>
    <row r="10708" spans="1:1">
      <c r="A10708" s="22"/>
    </row>
    <row r="10709" spans="1:1">
      <c r="A10709" s="22"/>
    </row>
    <row r="10710" spans="1:1">
      <c r="A10710" s="22"/>
    </row>
    <row r="10711" spans="1:1">
      <c r="A10711" s="22"/>
    </row>
    <row r="10712" spans="1:1">
      <c r="A10712" s="22"/>
    </row>
    <row r="10713" spans="1:1">
      <c r="A10713" s="22"/>
    </row>
    <row r="10714" spans="1:1">
      <c r="A10714" s="22"/>
    </row>
    <row r="10715" spans="1:1">
      <c r="A10715" s="22"/>
    </row>
    <row r="10716" spans="1:1">
      <c r="A10716" s="22"/>
    </row>
    <row r="10717" spans="1:1">
      <c r="A10717" s="22"/>
    </row>
    <row r="10718" spans="1:1">
      <c r="A10718" s="22"/>
    </row>
    <row r="10719" spans="1:1">
      <c r="A10719" s="22"/>
    </row>
    <row r="10720" spans="1:1">
      <c r="A10720" s="22"/>
    </row>
    <row r="10721" spans="1:1">
      <c r="A10721" s="22"/>
    </row>
    <row r="10722" spans="1:1">
      <c r="A10722" s="22"/>
    </row>
    <row r="10723" spans="1:1">
      <c r="A10723" s="22"/>
    </row>
    <row r="10724" spans="1:1">
      <c r="A10724" s="22"/>
    </row>
    <row r="10725" spans="1:1">
      <c r="A10725" s="22"/>
    </row>
    <row r="10726" spans="1:1">
      <c r="A10726" s="22"/>
    </row>
    <row r="10727" spans="1:1">
      <c r="A10727" s="22"/>
    </row>
    <row r="10728" spans="1:1">
      <c r="A10728" s="22"/>
    </row>
    <row r="10729" spans="1:1">
      <c r="A10729" s="22"/>
    </row>
    <row r="10730" spans="1:1">
      <c r="A10730" s="22"/>
    </row>
    <row r="10731" spans="1:1">
      <c r="A10731" s="22"/>
    </row>
    <row r="10732" spans="1:1">
      <c r="A10732" s="22"/>
    </row>
    <row r="10733" spans="1:1">
      <c r="A10733" s="22"/>
    </row>
    <row r="10734" spans="1:1">
      <c r="A10734" s="22"/>
    </row>
    <row r="10735" spans="1:1">
      <c r="A10735" s="22"/>
    </row>
    <row r="10736" spans="1:1">
      <c r="A10736" s="22"/>
    </row>
    <row r="10737" spans="1:1">
      <c r="A10737" s="22"/>
    </row>
    <row r="10738" spans="1:1">
      <c r="A10738" s="22"/>
    </row>
    <row r="10739" spans="1:1">
      <c r="A10739" s="22"/>
    </row>
    <row r="10740" spans="1:1">
      <c r="A10740" s="22"/>
    </row>
    <row r="10741" spans="1:1">
      <c r="A10741" s="22"/>
    </row>
    <row r="10742" spans="1:1">
      <c r="A10742" s="22"/>
    </row>
    <row r="10743" spans="1:1">
      <c r="A10743" s="22"/>
    </row>
    <row r="10744" spans="1:1">
      <c r="A10744" s="22"/>
    </row>
    <row r="10745" spans="1:1">
      <c r="A10745" s="22"/>
    </row>
    <row r="10746" spans="1:1">
      <c r="A10746" s="22"/>
    </row>
    <row r="10747" spans="1:1">
      <c r="A10747" s="22"/>
    </row>
    <row r="10748" spans="1:1">
      <c r="A10748" s="22"/>
    </row>
    <row r="10749" spans="1:1">
      <c r="A10749" s="22"/>
    </row>
    <row r="10750" spans="1:1">
      <c r="A10750" s="22"/>
    </row>
    <row r="10751" spans="1:1">
      <c r="A10751" s="22"/>
    </row>
    <row r="10752" spans="1:1">
      <c r="A10752" s="22"/>
    </row>
    <row r="10753" spans="1:1">
      <c r="A10753" s="22"/>
    </row>
    <row r="10754" spans="1:1">
      <c r="A10754" s="22"/>
    </row>
    <row r="10755" spans="1:1">
      <c r="A10755" s="22"/>
    </row>
    <row r="10756" spans="1:1">
      <c r="A10756" s="22"/>
    </row>
    <row r="10757" spans="1:1">
      <c r="A10757" s="22"/>
    </row>
    <row r="10758" spans="1:1">
      <c r="A10758" s="22"/>
    </row>
    <row r="10759" spans="1:1">
      <c r="A10759" s="22"/>
    </row>
    <row r="10760" spans="1:1">
      <c r="A10760" s="22"/>
    </row>
    <row r="10761" spans="1:1">
      <c r="A10761" s="22"/>
    </row>
    <row r="10762" spans="1:1">
      <c r="A10762" s="22"/>
    </row>
    <row r="10763" spans="1:1">
      <c r="A10763" s="22"/>
    </row>
    <row r="10764" spans="1:1">
      <c r="A10764" s="22"/>
    </row>
    <row r="10765" spans="1:1">
      <c r="A10765" s="22"/>
    </row>
    <row r="10766" spans="1:1">
      <c r="A10766" s="22"/>
    </row>
    <row r="10767" spans="1:1">
      <c r="A10767" s="22"/>
    </row>
    <row r="10768" spans="1:1">
      <c r="A10768" s="22"/>
    </row>
    <row r="10769" spans="1:1">
      <c r="A10769" s="22"/>
    </row>
    <row r="10770" spans="1:1">
      <c r="A10770" s="22"/>
    </row>
    <row r="10771" spans="1:1">
      <c r="A10771" s="22"/>
    </row>
    <row r="10772" spans="1:1">
      <c r="A10772" s="22"/>
    </row>
    <row r="10773" spans="1:1">
      <c r="A10773" s="22"/>
    </row>
    <row r="10774" spans="1:1">
      <c r="A10774" s="22"/>
    </row>
    <row r="10775" spans="1:1">
      <c r="A10775" s="22"/>
    </row>
    <row r="10776" spans="1:1">
      <c r="A10776" s="22"/>
    </row>
    <row r="10777" spans="1:1">
      <c r="A10777" s="22"/>
    </row>
    <row r="10778" spans="1:1">
      <c r="A10778" s="22"/>
    </row>
    <row r="10779" spans="1:1">
      <c r="A10779" s="22"/>
    </row>
    <row r="10780" spans="1:1">
      <c r="A10780" s="22"/>
    </row>
    <row r="10781" spans="1:1">
      <c r="A10781" s="22"/>
    </row>
    <row r="10782" spans="1:1">
      <c r="A10782" s="22"/>
    </row>
    <row r="10783" spans="1:1">
      <c r="A10783" s="22"/>
    </row>
    <row r="10784" spans="1:1">
      <c r="A10784" s="22"/>
    </row>
    <row r="10785" spans="1:1">
      <c r="A10785" s="22"/>
    </row>
    <row r="10786" spans="1:1">
      <c r="A10786" s="22"/>
    </row>
    <row r="10787" spans="1:1">
      <c r="A10787" s="22"/>
    </row>
    <row r="10788" spans="1:1">
      <c r="A10788" s="22"/>
    </row>
    <row r="10789" spans="1:1">
      <c r="A10789" s="22"/>
    </row>
    <row r="10790" spans="1:1">
      <c r="A10790" s="22"/>
    </row>
    <row r="10791" spans="1:1">
      <c r="A10791" s="22"/>
    </row>
    <row r="10792" spans="1:1">
      <c r="A10792" s="22"/>
    </row>
    <row r="10793" spans="1:1">
      <c r="A10793" s="22"/>
    </row>
    <row r="10794" spans="1:1">
      <c r="A10794" s="22"/>
    </row>
    <row r="10795" spans="1:1">
      <c r="A10795" s="22"/>
    </row>
    <row r="10796" spans="1:1">
      <c r="A10796" s="22"/>
    </row>
    <row r="10797" spans="1:1">
      <c r="A10797" s="22"/>
    </row>
    <row r="10798" spans="1:1">
      <c r="A10798" s="22"/>
    </row>
    <row r="10799" spans="1:1">
      <c r="A10799" s="22"/>
    </row>
    <row r="10800" spans="1:1">
      <c r="A10800" s="22"/>
    </row>
    <row r="10801" spans="1:1">
      <c r="A10801" s="22"/>
    </row>
    <row r="10802" spans="1:1">
      <c r="A10802" s="22"/>
    </row>
    <row r="10803" spans="1:1">
      <c r="A10803" s="22"/>
    </row>
    <row r="10804" spans="1:1">
      <c r="A10804" s="22"/>
    </row>
    <row r="10805" spans="1:1">
      <c r="A10805" s="22"/>
    </row>
    <row r="10806" spans="1:1">
      <c r="A10806" s="22"/>
    </row>
    <row r="10807" spans="1:1">
      <c r="A10807" s="22"/>
    </row>
    <row r="10808" spans="1:1">
      <c r="A10808" s="22"/>
    </row>
    <row r="10809" spans="1:1">
      <c r="A10809" s="22"/>
    </row>
    <row r="10810" spans="1:1">
      <c r="A10810" s="22"/>
    </row>
    <row r="10811" spans="1:1">
      <c r="A10811" s="22"/>
    </row>
    <row r="10812" spans="1:1">
      <c r="A10812" s="22"/>
    </row>
    <row r="10813" spans="1:1">
      <c r="A10813" s="22"/>
    </row>
    <row r="10814" spans="1:1">
      <c r="A10814" s="22"/>
    </row>
    <row r="10815" spans="1:1">
      <c r="A10815" s="22"/>
    </row>
    <row r="10816" spans="1:1">
      <c r="A10816" s="22"/>
    </row>
    <row r="10817" spans="1:1">
      <c r="A10817" s="22"/>
    </row>
    <row r="10818" spans="1:1">
      <c r="A10818" s="22"/>
    </row>
    <row r="10819" spans="1:1">
      <c r="A10819" s="22"/>
    </row>
    <row r="10820" spans="1:1">
      <c r="A10820" s="22"/>
    </row>
    <row r="10821" spans="1:1">
      <c r="A10821" s="22"/>
    </row>
    <row r="10822" spans="1:1">
      <c r="A10822" s="22"/>
    </row>
    <row r="10823" spans="1:1">
      <c r="A10823" s="22"/>
    </row>
    <row r="10824" spans="1:1">
      <c r="A10824" s="22"/>
    </row>
    <row r="10825" spans="1:1">
      <c r="A10825" s="22"/>
    </row>
    <row r="10826" spans="1:1">
      <c r="A10826" s="22"/>
    </row>
    <row r="10827" spans="1:1">
      <c r="A10827" s="22"/>
    </row>
    <row r="10828" spans="1:1">
      <c r="A10828" s="22"/>
    </row>
    <row r="10829" spans="1:1">
      <c r="A10829" s="22"/>
    </row>
    <row r="10830" spans="1:1">
      <c r="A10830" s="22"/>
    </row>
    <row r="10831" spans="1:1">
      <c r="A10831" s="22"/>
    </row>
    <row r="10832" spans="1:1">
      <c r="A10832" s="22"/>
    </row>
    <row r="10833" spans="1:1">
      <c r="A10833" s="22"/>
    </row>
    <row r="10834" spans="1:1">
      <c r="A10834" s="22"/>
    </row>
    <row r="10835" spans="1:1">
      <c r="A10835" s="22"/>
    </row>
    <row r="10836" spans="1:1">
      <c r="A10836" s="22"/>
    </row>
    <row r="10837" spans="1:1">
      <c r="A10837" s="22"/>
    </row>
    <row r="10838" spans="1:1">
      <c r="A10838" s="22"/>
    </row>
    <row r="10839" spans="1:1">
      <c r="A10839" s="22"/>
    </row>
    <row r="10840" spans="1:1">
      <c r="A10840" s="22"/>
    </row>
    <row r="10841" spans="1:1">
      <c r="A10841" s="22"/>
    </row>
    <row r="10842" spans="1:1">
      <c r="A10842" s="22"/>
    </row>
    <row r="10843" spans="1:1">
      <c r="A10843" s="22"/>
    </row>
    <row r="10844" spans="1:1">
      <c r="A10844" s="22"/>
    </row>
    <row r="10845" spans="1:1">
      <c r="A10845" s="22"/>
    </row>
    <row r="10846" spans="1:1">
      <c r="A10846" s="22"/>
    </row>
    <row r="10847" spans="1:1">
      <c r="A10847" s="22"/>
    </row>
    <row r="10848" spans="1:1">
      <c r="A10848" s="22"/>
    </row>
    <row r="10849" spans="1:1">
      <c r="A10849" s="22"/>
    </row>
    <row r="10850" spans="1:1">
      <c r="A10850" s="22"/>
    </row>
    <row r="10851" spans="1:1">
      <c r="A10851" s="22"/>
    </row>
    <row r="10852" spans="1:1">
      <c r="A10852" s="22"/>
    </row>
    <row r="10853" spans="1:1">
      <c r="A10853" s="22"/>
    </row>
    <row r="10854" spans="1:1">
      <c r="A10854" s="22"/>
    </row>
    <row r="10855" spans="1:1">
      <c r="A10855" s="22"/>
    </row>
    <row r="10856" spans="1:1">
      <c r="A10856" s="22"/>
    </row>
    <row r="10857" spans="1:1">
      <c r="A10857" s="22"/>
    </row>
    <row r="10858" spans="1:1">
      <c r="A10858" s="22"/>
    </row>
    <row r="10859" spans="1:1">
      <c r="A10859" s="22"/>
    </row>
    <row r="10860" spans="1:1">
      <c r="A10860" s="22"/>
    </row>
    <row r="10861" spans="1:1">
      <c r="A10861" s="22"/>
    </row>
    <row r="10862" spans="1:1">
      <c r="A10862" s="22"/>
    </row>
    <row r="10863" spans="1:1">
      <c r="A10863" s="22"/>
    </row>
    <row r="10864" spans="1:1">
      <c r="A10864" s="22"/>
    </row>
    <row r="10865" spans="1:1">
      <c r="A10865" s="22"/>
    </row>
    <row r="10866" spans="1:1">
      <c r="A10866" s="22"/>
    </row>
    <row r="10867" spans="1:1">
      <c r="A10867" s="22"/>
    </row>
    <row r="10868" spans="1:1">
      <c r="A10868" s="22"/>
    </row>
    <row r="10869" spans="1:1">
      <c r="A10869" s="22"/>
    </row>
    <row r="10870" spans="1:1">
      <c r="A10870" s="22"/>
    </row>
    <row r="10871" spans="1:1">
      <c r="A10871" s="22"/>
    </row>
    <row r="10872" spans="1:1">
      <c r="A10872" s="22"/>
    </row>
    <row r="10873" spans="1:1">
      <c r="A10873" s="22"/>
    </row>
    <row r="10874" spans="1:1">
      <c r="A10874" s="22"/>
    </row>
    <row r="10875" spans="1:1">
      <c r="A10875" s="22"/>
    </row>
    <row r="10876" spans="1:1">
      <c r="A10876" s="22"/>
    </row>
    <row r="10877" spans="1:1">
      <c r="A10877" s="22"/>
    </row>
    <row r="10878" spans="1:1">
      <c r="A10878" s="22"/>
    </row>
    <row r="10879" spans="1:1">
      <c r="A10879" s="22"/>
    </row>
    <row r="10880" spans="1:1">
      <c r="A10880" s="22"/>
    </row>
    <row r="10881" spans="1:1">
      <c r="A10881" s="22"/>
    </row>
    <row r="10882" spans="1:1">
      <c r="A10882" s="22"/>
    </row>
    <row r="10883" spans="1:1">
      <c r="A10883" s="22"/>
    </row>
    <row r="10884" spans="1:1">
      <c r="A10884" s="22"/>
    </row>
    <row r="10885" spans="1:1">
      <c r="A10885" s="22"/>
    </row>
    <row r="10886" spans="1:1">
      <c r="A10886" s="22"/>
    </row>
    <row r="10887" spans="1:1">
      <c r="A10887" s="22"/>
    </row>
    <row r="10888" spans="1:1">
      <c r="A10888" s="22"/>
    </row>
    <row r="10889" spans="1:1">
      <c r="A10889" s="22"/>
    </row>
    <row r="10890" spans="1:1">
      <c r="A10890" s="22"/>
    </row>
    <row r="10891" spans="1:1">
      <c r="A10891" s="22"/>
    </row>
    <row r="10892" spans="1:1">
      <c r="A10892" s="22"/>
    </row>
    <row r="10893" spans="1:1">
      <c r="A10893" s="22"/>
    </row>
    <row r="10894" spans="1:1">
      <c r="A10894" s="22"/>
    </row>
    <row r="10895" spans="1:1">
      <c r="A10895" s="22"/>
    </row>
    <row r="10896" spans="1:1">
      <c r="A10896" s="22"/>
    </row>
    <row r="10897" spans="1:1">
      <c r="A10897" s="22"/>
    </row>
    <row r="10898" spans="1:1">
      <c r="A10898" s="22"/>
    </row>
    <row r="10899" spans="1:1">
      <c r="A10899" s="22"/>
    </row>
    <row r="10900" spans="1:1">
      <c r="A10900" s="22"/>
    </row>
    <row r="10901" spans="1:1">
      <c r="A10901" s="22"/>
    </row>
    <row r="10902" spans="1:1">
      <c r="A10902" s="22"/>
    </row>
    <row r="10903" spans="1:1">
      <c r="A10903" s="22"/>
    </row>
    <row r="10904" spans="1:1">
      <c r="A10904" s="22"/>
    </row>
    <row r="10905" spans="1:1">
      <c r="A10905" s="22"/>
    </row>
    <row r="10906" spans="1:1">
      <c r="A10906" s="22"/>
    </row>
    <row r="10907" spans="1:1">
      <c r="A10907" s="22"/>
    </row>
    <row r="10908" spans="1:1">
      <c r="A10908" s="22"/>
    </row>
    <row r="10909" spans="1:1">
      <c r="A10909" s="22"/>
    </row>
    <row r="10910" spans="1:1">
      <c r="A10910" s="22"/>
    </row>
    <row r="10911" spans="1:1">
      <c r="A10911" s="22"/>
    </row>
    <row r="10912" spans="1:1">
      <c r="A10912" s="22"/>
    </row>
    <row r="10913" spans="1:1">
      <c r="A10913" s="22"/>
    </row>
    <row r="10914" spans="1:1">
      <c r="A10914" s="22"/>
    </row>
    <row r="10915" spans="1:1">
      <c r="A10915" s="22"/>
    </row>
    <row r="10916" spans="1:1">
      <c r="A10916" s="22"/>
    </row>
    <row r="10917" spans="1:1">
      <c r="A10917" s="22"/>
    </row>
    <row r="10918" spans="1:1">
      <c r="A10918" s="22"/>
    </row>
    <row r="10919" spans="1:1">
      <c r="A10919" s="22"/>
    </row>
    <row r="10920" spans="1:1">
      <c r="A10920" s="22"/>
    </row>
    <row r="10921" spans="1:1">
      <c r="A10921" s="22"/>
    </row>
    <row r="10922" spans="1:1">
      <c r="A10922" s="22"/>
    </row>
    <row r="10923" spans="1:1">
      <c r="A10923" s="22"/>
    </row>
    <row r="10924" spans="1:1">
      <c r="A10924" s="22"/>
    </row>
    <row r="10925" spans="1:1">
      <c r="A10925" s="22"/>
    </row>
    <row r="10926" spans="1:1">
      <c r="A10926" s="22"/>
    </row>
    <row r="10927" spans="1:1">
      <c r="A10927" s="22"/>
    </row>
    <row r="10928" spans="1:1">
      <c r="A10928" s="22"/>
    </row>
    <row r="10929" spans="1:1">
      <c r="A10929" s="22"/>
    </row>
    <row r="10930" spans="1:1">
      <c r="A10930" s="22"/>
    </row>
    <row r="10931" spans="1:1">
      <c r="A10931" s="22"/>
    </row>
    <row r="10932" spans="1:1">
      <c r="A10932" s="22"/>
    </row>
    <row r="10933" spans="1:1">
      <c r="A10933" s="22"/>
    </row>
    <row r="10934" spans="1:1">
      <c r="A10934" s="22"/>
    </row>
    <row r="10935" spans="1:1">
      <c r="A10935" s="22"/>
    </row>
    <row r="10936" spans="1:1">
      <c r="A10936" s="22"/>
    </row>
    <row r="10937" spans="1:1">
      <c r="A10937" s="22"/>
    </row>
    <row r="10938" spans="1:1">
      <c r="A10938" s="22"/>
    </row>
    <row r="10939" spans="1:1">
      <c r="A10939" s="22"/>
    </row>
    <row r="10940" spans="1:1">
      <c r="A10940" s="22"/>
    </row>
    <row r="10941" spans="1:1">
      <c r="A10941" s="22"/>
    </row>
    <row r="10942" spans="1:1">
      <c r="A10942" s="22"/>
    </row>
    <row r="10943" spans="1:1">
      <c r="A10943" s="22"/>
    </row>
    <row r="10944" spans="1:1">
      <c r="A10944" s="22"/>
    </row>
    <row r="10945" spans="1:1">
      <c r="A10945" s="22"/>
    </row>
    <row r="10946" spans="1:1">
      <c r="A10946" s="22"/>
    </row>
    <row r="10947" spans="1:1">
      <c r="A10947" s="22"/>
    </row>
    <row r="10948" spans="1:1">
      <c r="A10948" s="22"/>
    </row>
    <row r="10949" spans="1:1">
      <c r="A10949" s="22"/>
    </row>
    <row r="10950" spans="1:1">
      <c r="A10950" s="22"/>
    </row>
    <row r="10951" spans="1:1">
      <c r="A10951" s="22"/>
    </row>
    <row r="10952" spans="1:1">
      <c r="A10952" s="22"/>
    </row>
    <row r="10953" spans="1:1">
      <c r="A10953" s="22"/>
    </row>
    <row r="10954" spans="1:1">
      <c r="A10954" s="22"/>
    </row>
    <row r="10955" spans="1:1">
      <c r="A10955" s="22"/>
    </row>
    <row r="10956" spans="1:1">
      <c r="A10956" s="22"/>
    </row>
    <row r="10957" spans="1:1">
      <c r="A10957" s="22"/>
    </row>
    <row r="10958" spans="1:1">
      <c r="A10958" s="22"/>
    </row>
    <row r="10959" spans="1:1">
      <c r="A10959" s="22"/>
    </row>
    <row r="10960" spans="1:1">
      <c r="A10960" s="22"/>
    </row>
    <row r="10961" spans="1:1">
      <c r="A10961" s="22"/>
    </row>
    <row r="10962" spans="1:1">
      <c r="A10962" s="22"/>
    </row>
    <row r="10963" spans="1:1">
      <c r="A10963" s="22"/>
    </row>
    <row r="10964" spans="1:1">
      <c r="A10964" s="22"/>
    </row>
    <row r="10965" spans="1:1">
      <c r="A10965" s="22"/>
    </row>
    <row r="10966" spans="1:1">
      <c r="A10966" s="22"/>
    </row>
    <row r="10967" spans="1:1">
      <c r="A10967" s="22"/>
    </row>
    <row r="10968" spans="1:1">
      <c r="A10968" s="22"/>
    </row>
    <row r="10969" spans="1:1">
      <c r="A10969" s="22"/>
    </row>
    <row r="10970" spans="1:1">
      <c r="A10970" s="22"/>
    </row>
    <row r="10971" spans="1:1">
      <c r="A10971" s="22"/>
    </row>
    <row r="10972" spans="1:1">
      <c r="A10972" s="22"/>
    </row>
    <row r="10973" spans="1:1">
      <c r="A10973" s="22"/>
    </row>
    <row r="10974" spans="1:1">
      <c r="A10974" s="22"/>
    </row>
    <row r="10975" spans="1:1">
      <c r="A10975" s="22"/>
    </row>
    <row r="10976" spans="1:1">
      <c r="A10976" s="22"/>
    </row>
    <row r="10977" spans="1:1">
      <c r="A10977" s="22"/>
    </row>
    <row r="10978" spans="1:1">
      <c r="A10978" s="22"/>
    </row>
    <row r="10979" spans="1:1">
      <c r="A10979" s="22"/>
    </row>
    <row r="10980" spans="1:1">
      <c r="A10980" s="22"/>
    </row>
    <row r="10981" spans="1:1">
      <c r="A10981" s="22"/>
    </row>
    <row r="10982" spans="1:1">
      <c r="A10982" s="22"/>
    </row>
    <row r="10983" spans="1:1">
      <c r="A10983" s="22"/>
    </row>
    <row r="10984" spans="1:1">
      <c r="A10984" s="22"/>
    </row>
    <row r="10985" spans="1:1">
      <c r="A10985" s="22"/>
    </row>
    <row r="10986" spans="1:1">
      <c r="A10986" s="22"/>
    </row>
    <row r="10987" spans="1:1">
      <c r="A10987" s="22"/>
    </row>
    <row r="10988" spans="1:1">
      <c r="A10988" s="22"/>
    </row>
    <row r="10989" spans="1:1">
      <c r="A10989" s="22"/>
    </row>
    <row r="10990" spans="1:1">
      <c r="A10990" s="22"/>
    </row>
    <row r="10991" spans="1:1">
      <c r="A10991" s="22"/>
    </row>
    <row r="10992" spans="1:1">
      <c r="A10992" s="22"/>
    </row>
    <row r="10993" spans="1:1">
      <c r="A10993" s="22"/>
    </row>
    <row r="10994" spans="1:1">
      <c r="A10994" s="22"/>
    </row>
    <row r="10995" spans="1:1">
      <c r="A10995" s="22"/>
    </row>
    <row r="10996" spans="1:1">
      <c r="A10996" s="22"/>
    </row>
    <row r="10997" spans="1:1">
      <c r="A10997" s="22"/>
    </row>
    <row r="10998" spans="1:1">
      <c r="A10998" s="22"/>
    </row>
    <row r="10999" spans="1:1">
      <c r="A10999" s="22"/>
    </row>
    <row r="11000" spans="1:1">
      <c r="A11000" s="22"/>
    </row>
    <row r="11001" spans="1:1">
      <c r="A11001" s="22"/>
    </row>
    <row r="11002" spans="1:1">
      <c r="A11002" s="22"/>
    </row>
    <row r="11003" spans="1:1">
      <c r="A11003" s="22"/>
    </row>
    <row r="11004" spans="1:1">
      <c r="A11004" s="22"/>
    </row>
    <row r="11005" spans="1:1">
      <c r="A11005" s="22"/>
    </row>
    <row r="11006" spans="1:1">
      <c r="A11006" s="22"/>
    </row>
    <row r="11007" spans="1:1">
      <c r="A11007" s="22"/>
    </row>
    <row r="11008" spans="1:1">
      <c r="A11008" s="22"/>
    </row>
    <row r="11009" spans="1:1">
      <c r="A11009" s="22"/>
    </row>
    <row r="11010" spans="1:1">
      <c r="A11010" s="22"/>
    </row>
    <row r="11011" spans="1:1">
      <c r="A11011" s="22"/>
    </row>
    <row r="11012" spans="1:1">
      <c r="A11012" s="22"/>
    </row>
    <row r="11013" spans="1:1">
      <c r="A11013" s="22"/>
    </row>
    <row r="11014" spans="1:1">
      <c r="A11014" s="22"/>
    </row>
    <row r="11015" spans="1:1">
      <c r="A11015" s="22"/>
    </row>
    <row r="11016" spans="1:1">
      <c r="A11016" s="22"/>
    </row>
    <row r="11017" spans="1:1">
      <c r="A11017" s="22"/>
    </row>
    <row r="11018" spans="1:1">
      <c r="A11018" s="22"/>
    </row>
    <row r="11019" spans="1:1">
      <c r="A11019" s="22"/>
    </row>
    <row r="11020" spans="1:1">
      <c r="A11020" s="22"/>
    </row>
    <row r="11021" spans="1:1">
      <c r="A11021" s="22"/>
    </row>
    <row r="11022" spans="1:1">
      <c r="A11022" s="22"/>
    </row>
    <row r="11023" spans="1:1">
      <c r="A11023" s="22"/>
    </row>
    <row r="11024" spans="1:1">
      <c r="A11024" s="22"/>
    </row>
    <row r="11025" spans="1:1">
      <c r="A11025" s="22"/>
    </row>
    <row r="11026" spans="1:1">
      <c r="A11026" s="22"/>
    </row>
    <row r="11027" spans="1:1">
      <c r="A11027" s="22"/>
    </row>
    <row r="11028" spans="1:1">
      <c r="A11028" s="22"/>
    </row>
    <row r="11029" spans="1:1">
      <c r="A11029" s="22"/>
    </row>
    <row r="11030" spans="1:1">
      <c r="A11030" s="22"/>
    </row>
    <row r="11031" spans="1:1">
      <c r="A11031" s="22"/>
    </row>
    <row r="11032" spans="1:1">
      <c r="A11032" s="22"/>
    </row>
    <row r="11033" spans="1:1">
      <c r="A11033" s="22"/>
    </row>
    <row r="11034" spans="1:1">
      <c r="A11034" s="22"/>
    </row>
    <row r="11035" spans="1:1">
      <c r="A11035" s="22"/>
    </row>
    <row r="11036" spans="1:1">
      <c r="A11036" s="22"/>
    </row>
    <row r="11037" spans="1:1">
      <c r="A11037" s="22"/>
    </row>
    <row r="11038" spans="1:1">
      <c r="A11038" s="22"/>
    </row>
    <row r="11039" spans="1:1">
      <c r="A11039" s="22"/>
    </row>
    <row r="11040" spans="1:1">
      <c r="A11040" s="22"/>
    </row>
    <row r="11041" spans="1:1">
      <c r="A11041" s="22"/>
    </row>
    <row r="11042" spans="1:1">
      <c r="A11042" s="22"/>
    </row>
    <row r="11043" spans="1:1">
      <c r="A11043" s="22"/>
    </row>
    <row r="11044" spans="1:1">
      <c r="A11044" s="22"/>
    </row>
    <row r="11045" spans="1:1">
      <c r="A11045" s="22"/>
    </row>
    <row r="11046" spans="1:1">
      <c r="A11046" s="22"/>
    </row>
    <row r="11047" spans="1:1">
      <c r="A11047" s="22"/>
    </row>
    <row r="11048" spans="1:1">
      <c r="A11048" s="22"/>
    </row>
    <row r="11049" spans="1:1">
      <c r="A11049" s="22"/>
    </row>
    <row r="11050" spans="1:1">
      <c r="A11050" s="22"/>
    </row>
    <row r="11051" spans="1:1">
      <c r="A11051" s="22"/>
    </row>
    <row r="11052" spans="1:1">
      <c r="A11052" s="22"/>
    </row>
    <row r="11053" spans="1:1">
      <c r="A11053" s="22"/>
    </row>
    <row r="11054" spans="1:1">
      <c r="A11054" s="22"/>
    </row>
    <row r="11055" spans="1:1">
      <c r="A11055" s="22"/>
    </row>
    <row r="11056" spans="1:1">
      <c r="A11056" s="22"/>
    </row>
    <row r="11057" spans="1:1">
      <c r="A11057" s="22"/>
    </row>
    <row r="11058" spans="1:1">
      <c r="A11058" s="22"/>
    </row>
    <row r="11059" spans="1:1">
      <c r="A11059" s="22"/>
    </row>
    <row r="11060" spans="1:1">
      <c r="A11060" s="22"/>
    </row>
    <row r="11061" spans="1:1">
      <c r="A11061" s="22"/>
    </row>
    <row r="11062" spans="1:1">
      <c r="A11062" s="22"/>
    </row>
    <row r="11063" spans="1:1">
      <c r="A11063" s="22"/>
    </row>
    <row r="11064" spans="1:1">
      <c r="A11064" s="22"/>
    </row>
    <row r="11065" spans="1:1">
      <c r="A11065" s="22"/>
    </row>
    <row r="11066" spans="1:1">
      <c r="A11066" s="22"/>
    </row>
    <row r="11067" spans="1:1">
      <c r="A11067" s="22"/>
    </row>
    <row r="11068" spans="1:1">
      <c r="A11068" s="22"/>
    </row>
    <row r="11069" spans="1:1">
      <c r="A11069" s="22"/>
    </row>
    <row r="11070" spans="1:1">
      <c r="A11070" s="22"/>
    </row>
    <row r="11071" spans="1:1">
      <c r="A11071" s="22"/>
    </row>
    <row r="11072" spans="1:1">
      <c r="A11072" s="22"/>
    </row>
    <row r="11073" spans="1:1">
      <c r="A11073" s="22"/>
    </row>
    <row r="11074" spans="1:1">
      <c r="A11074" s="22"/>
    </row>
    <row r="11075" spans="1:1">
      <c r="A11075" s="22"/>
    </row>
    <row r="11076" spans="1:1">
      <c r="A11076" s="22"/>
    </row>
    <row r="11077" spans="1:1">
      <c r="A11077" s="22"/>
    </row>
    <row r="11078" spans="1:1">
      <c r="A11078" s="22"/>
    </row>
    <row r="11079" spans="1:1">
      <c r="A11079" s="22"/>
    </row>
    <row r="11080" spans="1:1">
      <c r="A11080" s="22"/>
    </row>
    <row r="11081" spans="1:1">
      <c r="A11081" s="22"/>
    </row>
    <row r="11082" spans="1:1">
      <c r="A11082" s="22"/>
    </row>
    <row r="11083" spans="1:1">
      <c r="A11083" s="22"/>
    </row>
    <row r="11084" spans="1:1">
      <c r="A11084" s="22"/>
    </row>
    <row r="11085" spans="1:1">
      <c r="A11085" s="22"/>
    </row>
    <row r="11086" spans="1:1">
      <c r="A11086" s="22"/>
    </row>
    <row r="11087" spans="1:1">
      <c r="A11087" s="22"/>
    </row>
    <row r="11088" spans="1:1">
      <c r="A11088" s="22"/>
    </row>
    <row r="11089" spans="1:1">
      <c r="A11089" s="22"/>
    </row>
    <row r="11090" spans="1:1">
      <c r="A11090" s="22"/>
    </row>
    <row r="11091" spans="1:1">
      <c r="A11091" s="22"/>
    </row>
    <row r="11092" spans="1:1">
      <c r="A11092" s="22"/>
    </row>
    <row r="11093" spans="1:1">
      <c r="A11093" s="22"/>
    </row>
    <row r="11094" spans="1:1">
      <c r="A11094" s="22"/>
    </row>
    <row r="11095" spans="1:1">
      <c r="A11095" s="22"/>
    </row>
    <row r="11096" spans="1:1">
      <c r="A11096" s="22"/>
    </row>
    <row r="11097" spans="1:1">
      <c r="A11097" s="22"/>
    </row>
    <row r="11098" spans="1:1">
      <c r="A11098" s="22"/>
    </row>
    <row r="11099" spans="1:1">
      <c r="A11099" s="22"/>
    </row>
    <row r="11100" spans="1:1">
      <c r="A11100" s="22"/>
    </row>
    <row r="11101" spans="1:1">
      <c r="A11101" s="22"/>
    </row>
    <row r="11102" spans="1:1">
      <c r="A11102" s="22"/>
    </row>
    <row r="11103" spans="1:1">
      <c r="A11103" s="22"/>
    </row>
    <row r="11104" spans="1:1">
      <c r="A11104" s="22"/>
    </row>
    <row r="11105" spans="1:1">
      <c r="A11105" s="22"/>
    </row>
    <row r="11106" spans="1:1">
      <c r="A11106" s="22"/>
    </row>
    <row r="11107" spans="1:1">
      <c r="A11107" s="22"/>
    </row>
    <row r="11108" spans="1:1">
      <c r="A11108" s="22"/>
    </row>
    <row r="11109" spans="1:1">
      <c r="A11109" s="22"/>
    </row>
    <row r="11110" spans="1:1">
      <c r="A11110" s="22"/>
    </row>
    <row r="11111" spans="1:1">
      <c r="A11111" s="22"/>
    </row>
    <row r="11112" spans="1:1">
      <c r="A11112" s="22"/>
    </row>
    <row r="11113" spans="1:1">
      <c r="A11113" s="22"/>
    </row>
    <row r="11114" spans="1:1">
      <c r="A11114" s="22"/>
    </row>
    <row r="11115" spans="1:1">
      <c r="A11115" s="22"/>
    </row>
    <row r="11116" spans="1:1">
      <c r="A11116" s="22"/>
    </row>
    <row r="11117" spans="1:1">
      <c r="A11117" s="22"/>
    </row>
    <row r="11118" spans="1:1">
      <c r="A11118" s="22"/>
    </row>
    <row r="11119" spans="1:1">
      <c r="A11119" s="22"/>
    </row>
    <row r="11120" spans="1:1">
      <c r="A11120" s="22"/>
    </row>
    <row r="11121" spans="1:1">
      <c r="A11121" s="22"/>
    </row>
    <row r="11122" spans="1:1">
      <c r="A11122" s="22"/>
    </row>
    <row r="11123" spans="1:1">
      <c r="A11123" s="22"/>
    </row>
    <row r="11124" spans="1:1">
      <c r="A11124" s="22"/>
    </row>
    <row r="11125" spans="1:1">
      <c r="A11125" s="22"/>
    </row>
    <row r="11126" spans="1:1">
      <c r="A11126" s="22"/>
    </row>
    <row r="11127" spans="1:1">
      <c r="A11127" s="22"/>
    </row>
    <row r="11128" spans="1:1">
      <c r="A11128" s="22"/>
    </row>
    <row r="11129" spans="1:1">
      <c r="A11129" s="22"/>
    </row>
    <row r="11130" spans="1:1">
      <c r="A11130" s="22"/>
    </row>
    <row r="11131" spans="1:1">
      <c r="A11131" s="22"/>
    </row>
    <row r="11132" spans="1:1">
      <c r="A11132" s="22"/>
    </row>
    <row r="11133" spans="1:1">
      <c r="A11133" s="22"/>
    </row>
    <row r="11134" spans="1:1">
      <c r="A11134" s="22"/>
    </row>
    <row r="11135" spans="1:1">
      <c r="A11135" s="22"/>
    </row>
    <row r="11136" spans="1:1">
      <c r="A11136" s="22"/>
    </row>
    <row r="11137" spans="1:1">
      <c r="A11137" s="22"/>
    </row>
    <row r="11138" spans="1:1">
      <c r="A11138" s="22"/>
    </row>
    <row r="11139" spans="1:1">
      <c r="A11139" s="22"/>
    </row>
    <row r="11140" spans="1:1">
      <c r="A11140" s="22"/>
    </row>
    <row r="11141" spans="1:1">
      <c r="A11141" s="22"/>
    </row>
    <row r="11142" spans="1:1">
      <c r="A11142" s="22"/>
    </row>
    <row r="11143" spans="1:1">
      <c r="A11143" s="22"/>
    </row>
    <row r="11144" spans="1:1">
      <c r="A11144" s="22"/>
    </row>
    <row r="11145" spans="1:1">
      <c r="A11145" s="22"/>
    </row>
    <row r="11146" spans="1:1">
      <c r="A11146" s="22"/>
    </row>
    <row r="11147" spans="1:1">
      <c r="A11147" s="22"/>
    </row>
    <row r="11148" spans="1:1">
      <c r="A11148" s="22"/>
    </row>
    <row r="11149" spans="1:1">
      <c r="A11149" s="22"/>
    </row>
    <row r="11150" spans="1:1">
      <c r="A11150" s="22"/>
    </row>
    <row r="11151" spans="1:1">
      <c r="A11151" s="22"/>
    </row>
    <row r="11152" spans="1:1">
      <c r="A11152" s="22"/>
    </row>
    <row r="11153" spans="1:1">
      <c r="A11153" s="22"/>
    </row>
    <row r="11154" spans="1:1">
      <c r="A11154" s="22"/>
    </row>
    <row r="11155" spans="1:1">
      <c r="A11155" s="22"/>
    </row>
    <row r="11156" spans="1:1">
      <c r="A11156" s="22"/>
    </row>
    <row r="11157" spans="1:1">
      <c r="A11157" s="22"/>
    </row>
    <row r="11158" spans="1:1">
      <c r="A11158" s="22"/>
    </row>
    <row r="11159" spans="1:1">
      <c r="A11159" s="22"/>
    </row>
    <row r="11160" spans="1:1">
      <c r="A11160" s="22"/>
    </row>
    <row r="11161" spans="1:1">
      <c r="A11161" s="22"/>
    </row>
    <row r="11162" spans="1:1">
      <c r="A11162" s="22"/>
    </row>
    <row r="11163" spans="1:1">
      <c r="A11163" s="22"/>
    </row>
    <row r="11164" spans="1:1">
      <c r="A11164" s="22"/>
    </row>
    <row r="11165" spans="1:1">
      <c r="A11165" s="22"/>
    </row>
    <row r="11166" spans="1:1">
      <c r="A11166" s="22"/>
    </row>
    <row r="11167" spans="1:1">
      <c r="A11167" s="22"/>
    </row>
    <row r="11168" spans="1:1">
      <c r="A11168" s="22"/>
    </row>
    <row r="11169" spans="1:1">
      <c r="A11169" s="22"/>
    </row>
    <row r="11170" spans="1:1">
      <c r="A11170" s="22"/>
    </row>
    <row r="11171" spans="1:1">
      <c r="A11171" s="22"/>
    </row>
    <row r="11172" spans="1:1">
      <c r="A11172" s="22"/>
    </row>
    <row r="11173" spans="1:1">
      <c r="A11173" s="22"/>
    </row>
    <row r="11174" spans="1:1">
      <c r="A11174" s="22"/>
    </row>
    <row r="11175" spans="1:1">
      <c r="A11175" s="22"/>
    </row>
    <row r="11176" spans="1:1">
      <c r="A11176" s="22"/>
    </row>
    <row r="11177" spans="1:1">
      <c r="A11177" s="22"/>
    </row>
    <row r="11178" spans="1:1">
      <c r="A11178" s="22"/>
    </row>
    <row r="11179" spans="1:1">
      <c r="A11179" s="22"/>
    </row>
    <row r="11180" spans="1:1">
      <c r="A11180" s="22"/>
    </row>
    <row r="11181" spans="1:1">
      <c r="A11181" s="22"/>
    </row>
    <row r="11182" spans="1:1">
      <c r="A11182" s="22"/>
    </row>
    <row r="11183" spans="1:1">
      <c r="A11183" s="22"/>
    </row>
    <row r="11184" spans="1:1">
      <c r="A11184" s="22"/>
    </row>
    <row r="11185" spans="1:1">
      <c r="A11185" s="22"/>
    </row>
    <row r="11186" spans="1:1">
      <c r="A11186" s="22"/>
    </row>
    <row r="11187" spans="1:1">
      <c r="A11187" s="22"/>
    </row>
    <row r="11188" spans="1:1">
      <c r="A11188" s="22"/>
    </row>
    <row r="11189" spans="1:1">
      <c r="A11189" s="22"/>
    </row>
    <row r="11190" spans="1:1">
      <c r="A11190" s="22"/>
    </row>
    <row r="11191" spans="1:1">
      <c r="A11191" s="22"/>
    </row>
    <row r="11192" spans="1:1">
      <c r="A11192" s="22"/>
    </row>
    <row r="11193" spans="1:1">
      <c r="A11193" s="22"/>
    </row>
    <row r="11194" spans="1:1">
      <c r="A11194" s="22"/>
    </row>
    <row r="11195" spans="1:1">
      <c r="A11195" s="22"/>
    </row>
    <row r="11196" spans="1:1">
      <c r="A11196" s="22"/>
    </row>
    <row r="11197" spans="1:1">
      <c r="A11197" s="22"/>
    </row>
    <row r="11198" spans="1:1">
      <c r="A11198" s="22"/>
    </row>
    <row r="11199" spans="1:1">
      <c r="A11199" s="22"/>
    </row>
    <row r="11200" spans="1:1">
      <c r="A11200" s="22"/>
    </row>
    <row r="11201" spans="1:1">
      <c r="A11201" s="22"/>
    </row>
    <row r="11202" spans="1:1">
      <c r="A11202" s="22"/>
    </row>
    <row r="11203" spans="1:1">
      <c r="A11203" s="22"/>
    </row>
    <row r="11204" spans="1:1">
      <c r="A11204" s="22"/>
    </row>
    <row r="11205" spans="1:1">
      <c r="A11205" s="22"/>
    </row>
    <row r="11206" spans="1:1">
      <c r="A11206" s="22"/>
    </row>
    <row r="11207" spans="1:1">
      <c r="A11207" s="22"/>
    </row>
    <row r="11208" spans="1:1">
      <c r="A11208" s="22"/>
    </row>
    <row r="11209" spans="1:1">
      <c r="A11209" s="22"/>
    </row>
    <row r="11210" spans="1:1">
      <c r="A11210" s="22"/>
    </row>
    <row r="11211" spans="1:1">
      <c r="A11211" s="22"/>
    </row>
    <row r="11212" spans="1:1">
      <c r="A11212" s="22"/>
    </row>
    <row r="11213" spans="1:1">
      <c r="A11213" s="22"/>
    </row>
    <row r="11214" spans="1:1">
      <c r="A11214" s="22"/>
    </row>
    <row r="11215" spans="1:1">
      <c r="A11215" s="22"/>
    </row>
    <row r="11216" spans="1:1">
      <c r="A11216" s="22"/>
    </row>
    <row r="11217" spans="1:1">
      <c r="A11217" s="22"/>
    </row>
    <row r="11218" spans="1:1">
      <c r="A11218" s="22"/>
    </row>
    <row r="11219" spans="1:1">
      <c r="A11219" s="22"/>
    </row>
    <row r="11220" spans="1:1">
      <c r="A11220" s="22"/>
    </row>
    <row r="11221" spans="1:1">
      <c r="A11221" s="22"/>
    </row>
    <row r="11222" spans="1:1">
      <c r="A11222" s="22"/>
    </row>
    <row r="11223" spans="1:1">
      <c r="A11223" s="22"/>
    </row>
    <row r="11224" spans="1:1">
      <c r="A11224" s="22"/>
    </row>
    <row r="11225" spans="1:1">
      <c r="A11225" s="22"/>
    </row>
    <row r="11226" spans="1:1">
      <c r="A11226" s="22"/>
    </row>
    <row r="11227" spans="1:1">
      <c r="A11227" s="22"/>
    </row>
    <row r="11228" spans="1:1">
      <c r="A11228" s="22"/>
    </row>
    <row r="11229" spans="1:1">
      <c r="A11229" s="22"/>
    </row>
    <row r="11230" spans="1:1">
      <c r="A11230" s="22"/>
    </row>
    <row r="11231" spans="1:1">
      <c r="A11231" s="22"/>
    </row>
    <row r="11232" spans="1:1">
      <c r="A11232" s="22"/>
    </row>
    <row r="11233" spans="1:1">
      <c r="A11233" s="22"/>
    </row>
    <row r="11234" spans="1:1">
      <c r="A11234" s="22"/>
    </row>
    <row r="11235" spans="1:1">
      <c r="A11235" s="22"/>
    </row>
    <row r="11236" spans="1:1">
      <c r="A11236" s="22"/>
    </row>
    <row r="11237" spans="1:1">
      <c r="A11237" s="22"/>
    </row>
    <row r="11238" spans="1:1">
      <c r="A11238" s="22"/>
    </row>
    <row r="11239" spans="1:1">
      <c r="A11239" s="22"/>
    </row>
    <row r="11240" spans="1:1">
      <c r="A11240" s="22"/>
    </row>
    <row r="11241" spans="1:1">
      <c r="A11241" s="22"/>
    </row>
    <row r="11242" spans="1:1">
      <c r="A11242" s="22"/>
    </row>
    <row r="11243" spans="1:1">
      <c r="A11243" s="22"/>
    </row>
    <row r="11244" spans="1:1">
      <c r="A11244" s="22"/>
    </row>
    <row r="11245" spans="1:1">
      <c r="A11245" s="22"/>
    </row>
    <row r="11246" spans="1:1">
      <c r="A11246" s="22"/>
    </row>
    <row r="11247" spans="1:1">
      <c r="A11247" s="22"/>
    </row>
    <row r="11248" spans="1:1">
      <c r="A11248" s="22"/>
    </row>
    <row r="11249" spans="1:1">
      <c r="A11249" s="22"/>
    </row>
    <row r="11250" spans="1:1">
      <c r="A11250" s="22"/>
    </row>
    <row r="11251" spans="1:1">
      <c r="A11251" s="22"/>
    </row>
    <row r="11252" spans="1:1">
      <c r="A11252" s="22"/>
    </row>
    <row r="11253" spans="1:1">
      <c r="A11253" s="22"/>
    </row>
    <row r="11254" spans="1:1">
      <c r="A11254" s="22"/>
    </row>
    <row r="11255" spans="1:1">
      <c r="A11255" s="22"/>
    </row>
    <row r="11256" spans="1:1">
      <c r="A11256" s="22"/>
    </row>
    <row r="11257" spans="1:1">
      <c r="A11257" s="22"/>
    </row>
    <row r="11258" spans="1:1">
      <c r="A11258" s="22"/>
    </row>
    <row r="11259" spans="1:1">
      <c r="A11259" s="22"/>
    </row>
    <row r="11260" spans="1:1">
      <c r="A11260" s="22"/>
    </row>
    <row r="11261" spans="1:1">
      <c r="A11261" s="22"/>
    </row>
    <row r="11262" spans="1:1">
      <c r="A11262" s="22"/>
    </row>
    <row r="11263" spans="1:1">
      <c r="A11263" s="22"/>
    </row>
    <row r="11264" spans="1:1">
      <c r="A11264" s="22"/>
    </row>
    <row r="11265" spans="1:1">
      <c r="A11265" s="22"/>
    </row>
    <row r="11266" spans="1:1">
      <c r="A11266" s="22"/>
    </row>
    <row r="11267" spans="1:1">
      <c r="A11267" s="22"/>
    </row>
    <row r="11268" spans="1:1">
      <c r="A11268" s="22"/>
    </row>
    <row r="11269" spans="1:1">
      <c r="A11269" s="22"/>
    </row>
    <row r="11270" spans="1:1">
      <c r="A11270" s="22"/>
    </row>
    <row r="11271" spans="1:1">
      <c r="A11271" s="22"/>
    </row>
    <row r="11272" spans="1:1">
      <c r="A11272" s="22"/>
    </row>
    <row r="11273" spans="1:1">
      <c r="A11273" s="22"/>
    </row>
    <row r="11274" spans="1:1">
      <c r="A11274" s="22"/>
    </row>
    <row r="11275" spans="1:1">
      <c r="A11275" s="22"/>
    </row>
    <row r="11276" spans="1:1">
      <c r="A11276" s="22"/>
    </row>
    <row r="11277" spans="1:1">
      <c r="A11277" s="22"/>
    </row>
    <row r="11278" spans="1:1">
      <c r="A11278" s="22"/>
    </row>
    <row r="11279" spans="1:1">
      <c r="A11279" s="22"/>
    </row>
    <row r="11280" spans="1:1">
      <c r="A11280" s="22"/>
    </row>
    <row r="11281" spans="1:1">
      <c r="A11281" s="22"/>
    </row>
    <row r="11282" spans="1:1">
      <c r="A11282" s="22"/>
    </row>
    <row r="11283" spans="1:1">
      <c r="A11283" s="22"/>
    </row>
    <row r="11284" spans="1:1">
      <c r="A11284" s="22"/>
    </row>
    <row r="11285" spans="1:1">
      <c r="A11285" s="22"/>
    </row>
    <row r="11286" spans="1:1">
      <c r="A11286" s="22"/>
    </row>
    <row r="11287" spans="1:1">
      <c r="A11287" s="22"/>
    </row>
    <row r="11288" spans="1:1">
      <c r="A11288" s="22"/>
    </row>
    <row r="11289" spans="1:1">
      <c r="A11289" s="22"/>
    </row>
    <row r="11290" spans="1:1">
      <c r="A11290" s="22"/>
    </row>
    <row r="11291" spans="1:1">
      <c r="A11291" s="22"/>
    </row>
    <row r="11292" spans="1:1">
      <c r="A11292" s="22"/>
    </row>
    <row r="11293" spans="1:1">
      <c r="A11293" s="22"/>
    </row>
    <row r="11294" spans="1:1">
      <c r="A11294" s="22"/>
    </row>
    <row r="11295" spans="1:1">
      <c r="A11295" s="22"/>
    </row>
    <row r="11296" spans="1:1">
      <c r="A11296" s="22"/>
    </row>
    <row r="11297" spans="1:1">
      <c r="A11297" s="22"/>
    </row>
    <row r="11298" spans="1:1">
      <c r="A11298" s="22"/>
    </row>
    <row r="11299" spans="1:1">
      <c r="A11299" s="22"/>
    </row>
    <row r="11300" spans="1:1">
      <c r="A11300" s="22"/>
    </row>
    <row r="11301" spans="1:1">
      <c r="A11301" s="22"/>
    </row>
    <row r="11302" spans="1:1">
      <c r="A11302" s="22"/>
    </row>
    <row r="11303" spans="1:1">
      <c r="A11303" s="22"/>
    </row>
    <row r="11304" spans="1:1">
      <c r="A11304" s="22"/>
    </row>
    <row r="11305" spans="1:1">
      <c r="A11305" s="22"/>
    </row>
    <row r="11306" spans="1:1">
      <c r="A11306" s="22"/>
    </row>
    <row r="11307" spans="1:1">
      <c r="A11307" s="22"/>
    </row>
    <row r="11308" spans="1:1">
      <c r="A11308" s="22"/>
    </row>
    <row r="11309" spans="1:1">
      <c r="A11309" s="22"/>
    </row>
    <row r="11310" spans="1:1">
      <c r="A11310" s="22"/>
    </row>
    <row r="11311" spans="1:1">
      <c r="A11311" s="22"/>
    </row>
    <row r="11312" spans="1:1">
      <c r="A11312" s="22"/>
    </row>
    <row r="11313" spans="1:1">
      <c r="A11313" s="22"/>
    </row>
    <row r="11314" spans="1:1">
      <c r="A11314" s="22"/>
    </row>
    <row r="11315" spans="1:1">
      <c r="A11315" s="22"/>
    </row>
    <row r="11316" spans="1:1">
      <c r="A11316" s="22"/>
    </row>
    <row r="11317" spans="1:1">
      <c r="A11317" s="22"/>
    </row>
    <row r="11318" spans="1:1">
      <c r="A11318" s="22"/>
    </row>
    <row r="11319" spans="1:1">
      <c r="A11319" s="22"/>
    </row>
    <row r="11320" spans="1:1">
      <c r="A11320" s="22"/>
    </row>
    <row r="11321" spans="1:1">
      <c r="A11321" s="22"/>
    </row>
    <row r="11322" spans="1:1">
      <c r="A11322" s="22"/>
    </row>
    <row r="11323" spans="1:1">
      <c r="A11323" s="22"/>
    </row>
    <row r="11324" spans="1:1">
      <c r="A11324" s="22"/>
    </row>
    <row r="11325" spans="1:1">
      <c r="A11325" s="22"/>
    </row>
    <row r="11326" spans="1:1">
      <c r="A11326" s="22"/>
    </row>
    <row r="11327" spans="1:1">
      <c r="A11327" s="22"/>
    </row>
    <row r="11328" spans="1:1">
      <c r="A11328" s="22"/>
    </row>
    <row r="11329" spans="1:1">
      <c r="A11329" s="22"/>
    </row>
    <row r="11330" spans="1:1">
      <c r="A11330" s="22"/>
    </row>
    <row r="11331" spans="1:1">
      <c r="A11331" s="22"/>
    </row>
    <row r="11332" spans="1:1">
      <c r="A11332" s="22"/>
    </row>
    <row r="11333" spans="1:1">
      <c r="A11333" s="22"/>
    </row>
    <row r="11334" spans="1:1">
      <c r="A11334" s="22"/>
    </row>
    <row r="11335" spans="1:1">
      <c r="A11335" s="22"/>
    </row>
    <row r="11336" spans="1:1">
      <c r="A11336" s="22"/>
    </row>
    <row r="11337" spans="1:1">
      <c r="A11337" s="22"/>
    </row>
    <row r="11338" spans="1:1">
      <c r="A11338" s="22"/>
    </row>
    <row r="11339" spans="1:1">
      <c r="A11339" s="22"/>
    </row>
    <row r="11340" spans="1:1">
      <c r="A11340" s="22"/>
    </row>
    <row r="11341" spans="1:1">
      <c r="A11341" s="22"/>
    </row>
    <row r="11342" spans="1:1">
      <c r="A11342" s="22"/>
    </row>
    <row r="11343" spans="1:1">
      <c r="A11343" s="22"/>
    </row>
    <row r="11344" spans="1:1">
      <c r="A11344" s="22"/>
    </row>
    <row r="11345" spans="1:1">
      <c r="A11345" s="22"/>
    </row>
    <row r="11346" spans="1:1">
      <c r="A11346" s="22"/>
    </row>
    <row r="11347" spans="1:1">
      <c r="A11347" s="22"/>
    </row>
    <row r="11348" spans="1:1">
      <c r="A11348" s="22"/>
    </row>
    <row r="11349" spans="1:1">
      <c r="A11349" s="22"/>
    </row>
    <row r="11350" spans="1:1">
      <c r="A11350" s="22"/>
    </row>
    <row r="11351" spans="1:1">
      <c r="A11351" s="22"/>
    </row>
    <row r="11352" spans="1:1">
      <c r="A11352" s="22"/>
    </row>
    <row r="11353" spans="1:1">
      <c r="A11353" s="22"/>
    </row>
    <row r="11354" spans="1:1">
      <c r="A11354" s="22"/>
    </row>
    <row r="11355" spans="1:1">
      <c r="A11355" s="22"/>
    </row>
    <row r="11356" spans="1:1">
      <c r="A11356" s="22"/>
    </row>
    <row r="11357" spans="1:1">
      <c r="A11357" s="22"/>
    </row>
    <row r="11358" spans="1:1">
      <c r="A11358" s="22"/>
    </row>
    <row r="11359" spans="1:1">
      <c r="A11359" s="22"/>
    </row>
    <row r="11360" spans="1:1">
      <c r="A11360" s="22"/>
    </row>
    <row r="11361" spans="1:1">
      <c r="A11361" s="22"/>
    </row>
    <row r="11362" spans="1:1">
      <c r="A11362" s="22"/>
    </row>
    <row r="11363" spans="1:1">
      <c r="A11363" s="22"/>
    </row>
    <row r="11364" spans="1:1">
      <c r="A11364" s="22"/>
    </row>
    <row r="11365" spans="1:1">
      <c r="A11365" s="22"/>
    </row>
    <row r="11366" spans="1:1">
      <c r="A11366" s="22"/>
    </row>
    <row r="11367" spans="1:1">
      <c r="A11367" s="22"/>
    </row>
    <row r="11368" spans="1:1">
      <c r="A11368" s="22"/>
    </row>
    <row r="11369" spans="1:1">
      <c r="A11369" s="22"/>
    </row>
    <row r="11370" spans="1:1">
      <c r="A11370" s="22"/>
    </row>
    <row r="11371" spans="1:1">
      <c r="A11371" s="22"/>
    </row>
    <row r="11372" spans="1:1">
      <c r="A11372" s="22"/>
    </row>
    <row r="11373" spans="1:1">
      <c r="A11373" s="22"/>
    </row>
    <row r="11374" spans="1:1">
      <c r="A11374" s="22"/>
    </row>
    <row r="11375" spans="1:1">
      <c r="A11375" s="22"/>
    </row>
    <row r="11376" spans="1:1">
      <c r="A11376" s="22"/>
    </row>
    <row r="11377" spans="1:1">
      <c r="A11377" s="22"/>
    </row>
    <row r="11378" spans="1:1">
      <c r="A11378" s="22"/>
    </row>
    <row r="11379" spans="1:1">
      <c r="A11379" s="22"/>
    </row>
    <row r="11380" spans="1:1">
      <c r="A11380" s="22"/>
    </row>
    <row r="11381" spans="1:1">
      <c r="A11381" s="22"/>
    </row>
    <row r="11382" spans="1:1">
      <c r="A11382" s="22"/>
    </row>
    <row r="11383" spans="1:1">
      <c r="A11383" s="22"/>
    </row>
    <row r="11384" spans="1:1">
      <c r="A11384" s="22"/>
    </row>
    <row r="11385" spans="1:1">
      <c r="A11385" s="22"/>
    </row>
    <row r="11386" spans="1:1">
      <c r="A11386" s="22"/>
    </row>
    <row r="11387" spans="1:1">
      <c r="A11387" s="22"/>
    </row>
    <row r="11388" spans="1:1">
      <c r="A11388" s="22"/>
    </row>
    <row r="11389" spans="1:1">
      <c r="A11389" s="22"/>
    </row>
    <row r="11390" spans="1:1">
      <c r="A11390" s="22"/>
    </row>
    <row r="11391" spans="1:1">
      <c r="A11391" s="22"/>
    </row>
    <row r="11392" spans="1:1">
      <c r="A11392" s="22"/>
    </row>
    <row r="11393" spans="1:1">
      <c r="A11393" s="22"/>
    </row>
    <row r="11394" spans="1:1">
      <c r="A11394" s="22"/>
    </row>
    <row r="11395" spans="1:1">
      <c r="A11395" s="22"/>
    </row>
    <row r="11396" spans="1:1">
      <c r="A11396" s="22"/>
    </row>
    <row r="11397" spans="1:1">
      <c r="A11397" s="22"/>
    </row>
    <row r="11398" spans="1:1">
      <c r="A11398" s="22"/>
    </row>
    <row r="11399" spans="1:1">
      <c r="A11399" s="22"/>
    </row>
    <row r="11400" spans="1:1">
      <c r="A11400" s="22"/>
    </row>
    <row r="11401" spans="1:1">
      <c r="A11401" s="22"/>
    </row>
    <row r="11402" spans="1:1">
      <c r="A11402" s="22"/>
    </row>
    <row r="11403" spans="1:1">
      <c r="A11403" s="22"/>
    </row>
    <row r="11404" spans="1:1">
      <c r="A11404" s="22"/>
    </row>
    <row r="11405" spans="1:1">
      <c r="A11405" s="22"/>
    </row>
    <row r="11406" spans="1:1">
      <c r="A11406" s="22"/>
    </row>
    <row r="11407" spans="1:1">
      <c r="A11407" s="22"/>
    </row>
    <row r="11408" spans="1:1">
      <c r="A11408" s="22"/>
    </row>
    <row r="11409" spans="1:1">
      <c r="A11409" s="22"/>
    </row>
    <row r="11410" spans="1:1">
      <c r="A11410" s="22"/>
    </row>
    <row r="11411" spans="1:1">
      <c r="A11411" s="22"/>
    </row>
    <row r="11412" spans="1:1">
      <c r="A11412" s="22"/>
    </row>
    <row r="11413" spans="1:1">
      <c r="A11413" s="22"/>
    </row>
    <row r="11414" spans="1:1">
      <c r="A11414" s="22"/>
    </row>
    <row r="11415" spans="1:1">
      <c r="A11415" s="22"/>
    </row>
    <row r="11416" spans="1:1">
      <c r="A11416" s="22"/>
    </row>
    <row r="11417" spans="1:1">
      <c r="A11417" s="22"/>
    </row>
    <row r="11418" spans="1:1">
      <c r="A11418" s="22"/>
    </row>
    <row r="11419" spans="1:1">
      <c r="A11419" s="22"/>
    </row>
    <row r="11420" spans="1:1">
      <c r="A11420" s="22"/>
    </row>
    <row r="11421" spans="1:1">
      <c r="A11421" s="22"/>
    </row>
    <row r="11422" spans="1:1">
      <c r="A11422" s="22"/>
    </row>
    <row r="11423" spans="1:1">
      <c r="A11423" s="22"/>
    </row>
    <row r="11424" spans="1:1">
      <c r="A11424" s="22"/>
    </row>
    <row r="11425" spans="1:1">
      <c r="A11425" s="22"/>
    </row>
    <row r="11426" spans="1:1">
      <c r="A11426" s="22"/>
    </row>
    <row r="11427" spans="1:1">
      <c r="A11427" s="22"/>
    </row>
    <row r="11428" spans="1:1">
      <c r="A11428" s="22"/>
    </row>
    <row r="11429" spans="1:1">
      <c r="A11429" s="22"/>
    </row>
    <row r="11430" spans="1:1">
      <c r="A11430" s="22"/>
    </row>
    <row r="11431" spans="1:1">
      <c r="A11431" s="22"/>
    </row>
    <row r="11432" spans="1:1">
      <c r="A11432" s="22"/>
    </row>
    <row r="11433" spans="1:1">
      <c r="A11433" s="22"/>
    </row>
    <row r="11434" spans="1:1">
      <c r="A11434" s="22"/>
    </row>
    <row r="11435" spans="1:1">
      <c r="A11435" s="22"/>
    </row>
    <row r="11436" spans="1:1">
      <c r="A11436" s="22"/>
    </row>
    <row r="11437" spans="1:1">
      <c r="A11437" s="22"/>
    </row>
    <row r="11438" spans="1:1">
      <c r="A11438" s="22"/>
    </row>
    <row r="11439" spans="1:1">
      <c r="A11439" s="22"/>
    </row>
    <row r="11440" spans="1:1">
      <c r="A11440" s="22"/>
    </row>
    <row r="11441" spans="1:1">
      <c r="A11441" s="22"/>
    </row>
    <row r="11442" spans="1:1">
      <c r="A11442" s="22"/>
    </row>
    <row r="11443" spans="1:1">
      <c r="A11443" s="22"/>
    </row>
    <row r="11444" spans="1:1">
      <c r="A11444" s="22"/>
    </row>
    <row r="11445" spans="1:1">
      <c r="A11445" s="22"/>
    </row>
    <row r="11446" spans="1:1">
      <c r="A11446" s="22"/>
    </row>
    <row r="11447" spans="1:1">
      <c r="A11447" s="22"/>
    </row>
    <row r="11448" spans="1:1">
      <c r="A11448" s="22"/>
    </row>
    <row r="11449" spans="1:1">
      <c r="A11449" s="22"/>
    </row>
    <row r="11450" spans="1:1">
      <c r="A11450" s="22"/>
    </row>
    <row r="11451" spans="1:1">
      <c r="A11451" s="22"/>
    </row>
    <row r="11452" spans="1:1">
      <c r="A11452" s="22"/>
    </row>
    <row r="11453" spans="1:1">
      <c r="A11453" s="22"/>
    </row>
    <row r="11454" spans="1:1">
      <c r="A11454" s="22"/>
    </row>
    <row r="11455" spans="1:1">
      <c r="A11455" s="22"/>
    </row>
    <row r="11456" spans="1:1">
      <c r="A11456" s="22"/>
    </row>
    <row r="11457" spans="1:1">
      <c r="A11457" s="22"/>
    </row>
    <row r="11458" spans="1:1">
      <c r="A11458" s="22"/>
    </row>
    <row r="11459" spans="1:1">
      <c r="A11459" s="22"/>
    </row>
    <row r="11460" spans="1:1">
      <c r="A11460" s="22"/>
    </row>
    <row r="11461" spans="1:1">
      <c r="A11461" s="22"/>
    </row>
    <row r="11462" spans="1:1">
      <c r="A11462" s="22"/>
    </row>
    <row r="11463" spans="1:1">
      <c r="A11463" s="22"/>
    </row>
    <row r="11464" spans="1:1">
      <c r="A11464" s="22"/>
    </row>
    <row r="11465" spans="1:1">
      <c r="A11465" s="22"/>
    </row>
    <row r="11466" spans="1:1">
      <c r="A11466" s="22"/>
    </row>
    <row r="11467" spans="1:1">
      <c r="A11467" s="22"/>
    </row>
    <row r="11468" spans="1:1">
      <c r="A11468" s="22"/>
    </row>
    <row r="11469" spans="1:1">
      <c r="A11469" s="22"/>
    </row>
    <row r="11470" spans="1:1">
      <c r="A11470" s="22"/>
    </row>
    <row r="11471" spans="1:1">
      <c r="A11471" s="22"/>
    </row>
    <row r="11472" spans="1:1">
      <c r="A11472" s="22"/>
    </row>
    <row r="11473" spans="1:1">
      <c r="A11473" s="22"/>
    </row>
    <row r="11474" spans="1:1">
      <c r="A11474" s="22"/>
    </row>
    <row r="11475" spans="1:1">
      <c r="A11475" s="22"/>
    </row>
    <row r="11476" spans="1:1">
      <c r="A11476" s="22"/>
    </row>
    <row r="11477" spans="1:1">
      <c r="A11477" s="22"/>
    </row>
    <row r="11478" spans="1:1">
      <c r="A11478" s="22"/>
    </row>
    <row r="11479" spans="1:1">
      <c r="A11479" s="22"/>
    </row>
    <row r="11480" spans="1:1">
      <c r="A11480" s="22"/>
    </row>
    <row r="11481" spans="1:1">
      <c r="A11481" s="22"/>
    </row>
    <row r="11482" spans="1:1">
      <c r="A11482" s="22"/>
    </row>
    <row r="11483" spans="1:1">
      <c r="A11483" s="22"/>
    </row>
    <row r="11484" spans="1:1">
      <c r="A11484" s="22"/>
    </row>
    <row r="11485" spans="1:1">
      <c r="A11485" s="22"/>
    </row>
    <row r="11486" spans="1:1">
      <c r="A11486" s="22"/>
    </row>
    <row r="11487" spans="1:1">
      <c r="A11487" s="22"/>
    </row>
    <row r="11488" spans="1:1">
      <c r="A11488" s="22"/>
    </row>
    <row r="11489" spans="1:1">
      <c r="A11489" s="22"/>
    </row>
    <row r="11490" spans="1:1">
      <c r="A11490" s="22"/>
    </row>
    <row r="11491" spans="1:1">
      <c r="A11491" s="22"/>
    </row>
    <row r="11492" spans="1:1">
      <c r="A11492" s="22"/>
    </row>
    <row r="11493" spans="1:1">
      <c r="A11493" s="22"/>
    </row>
    <row r="11494" spans="1:1">
      <c r="A11494" s="22"/>
    </row>
    <row r="11495" spans="1:1">
      <c r="A11495" s="22"/>
    </row>
    <row r="11496" spans="1:1">
      <c r="A11496" s="22"/>
    </row>
    <row r="11497" spans="1:1">
      <c r="A11497" s="22"/>
    </row>
    <row r="11498" spans="1:1">
      <c r="A11498" s="22"/>
    </row>
    <row r="11499" spans="1:1">
      <c r="A11499" s="22"/>
    </row>
    <row r="11500" spans="1:1">
      <c r="A11500" s="22"/>
    </row>
    <row r="11501" spans="1:1">
      <c r="A11501" s="22"/>
    </row>
    <row r="11502" spans="1:1">
      <c r="A11502" s="22"/>
    </row>
    <row r="11503" spans="1:1">
      <c r="A11503" s="22"/>
    </row>
    <row r="11504" spans="1:1">
      <c r="A11504" s="22"/>
    </row>
    <row r="11505" spans="1:1">
      <c r="A11505" s="22"/>
    </row>
    <row r="11506" spans="1:1">
      <c r="A11506" s="22"/>
    </row>
    <row r="11507" spans="1:1">
      <c r="A11507" s="22"/>
    </row>
    <row r="11508" spans="1:1">
      <c r="A11508" s="22"/>
    </row>
    <row r="11509" spans="1:1">
      <c r="A11509" s="22"/>
    </row>
    <row r="11510" spans="1:1">
      <c r="A11510" s="22"/>
    </row>
    <row r="11511" spans="1:1">
      <c r="A11511" s="22"/>
    </row>
    <row r="11512" spans="1:1">
      <c r="A11512" s="22"/>
    </row>
    <row r="11513" spans="1:1">
      <c r="A11513" s="22"/>
    </row>
    <row r="11514" spans="1:1">
      <c r="A11514" s="22"/>
    </row>
    <row r="11515" spans="1:1">
      <c r="A11515" s="22"/>
    </row>
    <row r="11516" spans="1:1">
      <c r="A11516" s="22"/>
    </row>
    <row r="11517" spans="1:1">
      <c r="A11517" s="22"/>
    </row>
    <row r="11518" spans="1:1">
      <c r="A11518" s="22"/>
    </row>
    <row r="11519" spans="1:1">
      <c r="A11519" s="22"/>
    </row>
    <row r="11520" spans="1:1">
      <c r="A11520" s="22"/>
    </row>
    <row r="11521" spans="1:1">
      <c r="A11521" s="22"/>
    </row>
    <row r="11522" spans="1:1">
      <c r="A11522" s="22"/>
    </row>
    <row r="11523" spans="1:1">
      <c r="A11523" s="22"/>
    </row>
    <row r="11524" spans="1:1">
      <c r="A11524" s="22"/>
    </row>
    <row r="11525" spans="1:1">
      <c r="A11525" s="22"/>
    </row>
    <row r="11526" spans="1:1">
      <c r="A11526" s="22"/>
    </row>
    <row r="11527" spans="1:1">
      <c r="A11527" s="22"/>
    </row>
    <row r="11528" spans="1:1">
      <c r="A11528" s="22"/>
    </row>
    <row r="11529" spans="1:1">
      <c r="A11529" s="22"/>
    </row>
    <row r="11530" spans="1:1">
      <c r="A11530" s="22"/>
    </row>
    <row r="11531" spans="1:1">
      <c r="A11531" s="22"/>
    </row>
    <row r="11532" spans="1:1">
      <c r="A11532" s="22"/>
    </row>
    <row r="11533" spans="1:1">
      <c r="A11533" s="22"/>
    </row>
    <row r="11534" spans="1:1">
      <c r="A11534" s="22"/>
    </row>
    <row r="11535" spans="1:1">
      <c r="A11535" s="22"/>
    </row>
    <row r="11536" spans="1:1">
      <c r="A11536" s="22"/>
    </row>
    <row r="11537" spans="1:1">
      <c r="A11537" s="22"/>
    </row>
    <row r="11538" spans="1:1">
      <c r="A11538" s="22"/>
    </row>
    <row r="11539" spans="1:1">
      <c r="A11539" s="22"/>
    </row>
    <row r="11540" spans="1:1">
      <c r="A11540" s="22"/>
    </row>
    <row r="11541" spans="1:1">
      <c r="A11541" s="22"/>
    </row>
    <row r="11542" spans="1:1">
      <c r="A11542" s="22"/>
    </row>
    <row r="11543" spans="1:1">
      <c r="A11543" s="22"/>
    </row>
    <row r="11544" spans="1:1">
      <c r="A11544" s="22"/>
    </row>
    <row r="11545" spans="1:1">
      <c r="A11545" s="22"/>
    </row>
    <row r="11546" spans="1:1">
      <c r="A11546" s="22"/>
    </row>
    <row r="11547" spans="1:1">
      <c r="A11547" s="22"/>
    </row>
    <row r="11548" spans="1:1">
      <c r="A11548" s="22"/>
    </row>
    <row r="11549" spans="1:1">
      <c r="A11549" s="22"/>
    </row>
    <row r="11550" spans="1:1">
      <c r="A11550" s="22"/>
    </row>
    <row r="11551" spans="1:1">
      <c r="A11551" s="22"/>
    </row>
    <row r="11552" spans="1:1">
      <c r="A11552" s="22"/>
    </row>
    <row r="11553" spans="1:1">
      <c r="A11553" s="22"/>
    </row>
    <row r="11554" spans="1:1">
      <c r="A11554" s="22"/>
    </row>
    <row r="11555" spans="1:1">
      <c r="A11555" s="22"/>
    </row>
    <row r="11556" spans="1:1">
      <c r="A11556" s="22"/>
    </row>
    <row r="11557" spans="1:1">
      <c r="A11557" s="22"/>
    </row>
    <row r="11558" spans="1:1">
      <c r="A11558" s="22"/>
    </row>
    <row r="11559" spans="1:1">
      <c r="A11559" s="22"/>
    </row>
    <row r="11560" spans="1:1">
      <c r="A11560" s="22"/>
    </row>
    <row r="11561" spans="1:1">
      <c r="A11561" s="22"/>
    </row>
    <row r="11562" spans="1:1">
      <c r="A11562" s="22"/>
    </row>
    <row r="11563" spans="1:1">
      <c r="A11563" s="22"/>
    </row>
    <row r="11564" spans="1:1">
      <c r="A11564" s="22"/>
    </row>
    <row r="11565" spans="1:1">
      <c r="A11565" s="22"/>
    </row>
    <row r="11566" spans="1:1">
      <c r="A11566" s="22"/>
    </row>
    <row r="11567" spans="1:1">
      <c r="A11567" s="22"/>
    </row>
    <row r="11568" spans="1:1">
      <c r="A11568" s="22"/>
    </row>
    <row r="11569" spans="1:1">
      <c r="A11569" s="22"/>
    </row>
    <row r="11570" spans="1:1">
      <c r="A11570" s="22"/>
    </row>
    <row r="11571" spans="1:1">
      <c r="A11571" s="22"/>
    </row>
    <row r="11572" spans="1:1">
      <c r="A11572" s="22"/>
    </row>
    <row r="11573" spans="1:1">
      <c r="A11573" s="22"/>
    </row>
    <row r="11574" spans="1:1">
      <c r="A11574" s="22"/>
    </row>
    <row r="11575" spans="1:1">
      <c r="A11575" s="22"/>
    </row>
    <row r="11576" spans="1:1">
      <c r="A11576" s="22"/>
    </row>
    <row r="11577" spans="1:1">
      <c r="A11577" s="22"/>
    </row>
    <row r="11578" spans="1:1">
      <c r="A11578" s="22"/>
    </row>
    <row r="11579" spans="1:1">
      <c r="A11579" s="22"/>
    </row>
    <row r="11580" spans="1:1">
      <c r="A11580" s="22"/>
    </row>
    <row r="11581" spans="1:1">
      <c r="A11581" s="22"/>
    </row>
    <row r="11582" spans="1:1">
      <c r="A11582" s="22"/>
    </row>
    <row r="11583" spans="1:1">
      <c r="A11583" s="22"/>
    </row>
    <row r="11584" spans="1:1">
      <c r="A11584" s="22"/>
    </row>
    <row r="11585" spans="1:1">
      <c r="A11585" s="22"/>
    </row>
    <row r="11586" spans="1:1">
      <c r="A11586" s="22"/>
    </row>
    <row r="11587" spans="1:1">
      <c r="A11587" s="22"/>
    </row>
    <row r="11588" spans="1:1">
      <c r="A11588" s="22"/>
    </row>
    <row r="11589" spans="1:1">
      <c r="A11589" s="22"/>
    </row>
    <row r="11590" spans="1:1">
      <c r="A11590" s="22"/>
    </row>
    <row r="11591" spans="1:1">
      <c r="A11591" s="22"/>
    </row>
    <row r="11592" spans="1:1">
      <c r="A11592" s="22"/>
    </row>
    <row r="11593" spans="1:1">
      <c r="A11593" s="22"/>
    </row>
    <row r="11594" spans="1:1">
      <c r="A11594" s="22"/>
    </row>
    <row r="11595" spans="1:1">
      <c r="A11595" s="22"/>
    </row>
    <row r="11596" spans="1:1">
      <c r="A11596" s="22"/>
    </row>
    <row r="11597" spans="1:1">
      <c r="A11597" s="22"/>
    </row>
    <row r="11598" spans="1:1">
      <c r="A11598" s="22"/>
    </row>
    <row r="11599" spans="1:1">
      <c r="A11599" s="22"/>
    </row>
    <row r="11600" spans="1:1">
      <c r="A11600" s="22"/>
    </row>
    <row r="11601" spans="1:1">
      <c r="A11601" s="22"/>
    </row>
    <row r="11602" spans="1:1">
      <c r="A11602" s="22"/>
    </row>
    <row r="11603" spans="1:1">
      <c r="A11603" s="22"/>
    </row>
    <row r="11604" spans="1:1">
      <c r="A11604" s="22"/>
    </row>
    <row r="11605" spans="1:1">
      <c r="A11605" s="22"/>
    </row>
    <row r="11606" spans="1:1">
      <c r="A11606" s="22"/>
    </row>
    <row r="11607" spans="1:1">
      <c r="A11607" s="22"/>
    </row>
    <row r="11608" spans="1:1">
      <c r="A11608" s="22"/>
    </row>
    <row r="11609" spans="1:1">
      <c r="A11609" s="22"/>
    </row>
    <row r="11610" spans="1:1">
      <c r="A11610" s="22"/>
    </row>
    <row r="11611" spans="1:1">
      <c r="A11611" s="22"/>
    </row>
    <row r="11612" spans="1:1">
      <c r="A11612" s="22"/>
    </row>
    <row r="11613" spans="1:1">
      <c r="A11613" s="22"/>
    </row>
    <row r="11614" spans="1:1">
      <c r="A11614" s="22"/>
    </row>
    <row r="11615" spans="1:1">
      <c r="A11615" s="22"/>
    </row>
    <row r="11616" spans="1:1">
      <c r="A11616" s="22"/>
    </row>
    <row r="11617" spans="1:1">
      <c r="A11617" s="22"/>
    </row>
    <row r="11618" spans="1:1">
      <c r="A11618" s="22"/>
    </row>
    <row r="11619" spans="1:1">
      <c r="A11619" s="22"/>
    </row>
    <row r="11620" spans="1:1">
      <c r="A11620" s="22"/>
    </row>
    <row r="11621" spans="1:1">
      <c r="A11621" s="22"/>
    </row>
    <row r="11622" spans="1:1">
      <c r="A11622" s="22"/>
    </row>
    <row r="11623" spans="1:1">
      <c r="A11623" s="22"/>
    </row>
    <row r="11624" spans="1:1">
      <c r="A11624" s="22"/>
    </row>
    <row r="11625" spans="1:1">
      <c r="A11625" s="22"/>
    </row>
    <row r="11626" spans="1:1">
      <c r="A11626" s="22"/>
    </row>
    <row r="11627" spans="1:1">
      <c r="A11627" s="22"/>
    </row>
    <row r="11628" spans="1:1">
      <c r="A11628" s="22"/>
    </row>
    <row r="11629" spans="1:1">
      <c r="A11629" s="22"/>
    </row>
    <row r="11630" spans="1:1">
      <c r="A11630" s="22"/>
    </row>
    <row r="11631" spans="1:1">
      <c r="A11631" s="22"/>
    </row>
    <row r="11632" spans="1:1">
      <c r="A11632" s="22"/>
    </row>
    <row r="11633" spans="1:1">
      <c r="A11633" s="22"/>
    </row>
    <row r="11634" spans="1:1">
      <c r="A11634" s="22"/>
    </row>
    <row r="11635" spans="1:1">
      <c r="A11635" s="22"/>
    </row>
    <row r="11636" spans="1:1">
      <c r="A11636" s="22"/>
    </row>
    <row r="11637" spans="1:1">
      <c r="A11637" s="22"/>
    </row>
    <row r="11638" spans="1:1">
      <c r="A11638" s="22"/>
    </row>
    <row r="11639" spans="1:1">
      <c r="A11639" s="22"/>
    </row>
    <row r="11640" spans="1:1">
      <c r="A11640" s="22"/>
    </row>
    <row r="11641" spans="1:1">
      <c r="A11641" s="22"/>
    </row>
    <row r="11642" spans="1:1">
      <c r="A11642" s="22"/>
    </row>
    <row r="11643" spans="1:1">
      <c r="A11643" s="22"/>
    </row>
    <row r="11644" spans="1:1">
      <c r="A11644" s="22"/>
    </row>
    <row r="11645" spans="1:1">
      <c r="A11645" s="22"/>
    </row>
    <row r="11646" spans="1:1">
      <c r="A11646" s="22"/>
    </row>
    <row r="11647" spans="1:1">
      <c r="A11647" s="22"/>
    </row>
    <row r="11648" spans="1:1">
      <c r="A11648" s="22"/>
    </row>
    <row r="11649" spans="1:1">
      <c r="A11649" s="22"/>
    </row>
    <row r="11650" spans="1:1">
      <c r="A11650" s="22"/>
    </row>
    <row r="11651" spans="1:1">
      <c r="A11651" s="22"/>
    </row>
    <row r="11652" spans="1:1">
      <c r="A11652" s="22"/>
    </row>
    <row r="11653" spans="1:1">
      <c r="A11653" s="22"/>
    </row>
    <row r="11654" spans="1:1">
      <c r="A11654" s="22"/>
    </row>
    <row r="11655" spans="1:1">
      <c r="A11655" s="22"/>
    </row>
    <row r="11656" spans="1:1">
      <c r="A11656" s="22"/>
    </row>
    <row r="11657" spans="1:1">
      <c r="A11657" s="22"/>
    </row>
    <row r="11658" spans="1:1">
      <c r="A11658" s="22"/>
    </row>
    <row r="11659" spans="1:1">
      <c r="A11659" s="22"/>
    </row>
    <row r="11660" spans="1:1">
      <c r="A11660" s="22"/>
    </row>
    <row r="11661" spans="1:1">
      <c r="A11661" s="22"/>
    </row>
    <row r="11662" spans="1:1">
      <c r="A11662" s="22"/>
    </row>
    <row r="11663" spans="1:1">
      <c r="A11663" s="22"/>
    </row>
    <row r="11664" spans="1:1">
      <c r="A11664" s="22"/>
    </row>
    <row r="11665" spans="1:1">
      <c r="A11665" s="22"/>
    </row>
    <row r="11666" spans="1:1">
      <c r="A11666" s="22"/>
    </row>
    <row r="11667" spans="1:1">
      <c r="A11667" s="22"/>
    </row>
    <row r="11668" spans="1:1">
      <c r="A11668" s="22"/>
    </row>
    <row r="11669" spans="1:1">
      <c r="A11669" s="22"/>
    </row>
    <row r="11670" spans="1:1">
      <c r="A11670" s="22"/>
    </row>
    <row r="11671" spans="1:1">
      <c r="A11671" s="22"/>
    </row>
    <row r="11672" spans="1:1">
      <c r="A11672" s="22"/>
    </row>
    <row r="11673" spans="1:1">
      <c r="A11673" s="22"/>
    </row>
    <row r="11674" spans="1:1">
      <c r="A11674" s="22"/>
    </row>
    <row r="11675" spans="1:1">
      <c r="A11675" s="22"/>
    </row>
    <row r="11676" spans="1:1">
      <c r="A11676" s="22"/>
    </row>
    <row r="11677" spans="1:1">
      <c r="A11677" s="22"/>
    </row>
    <row r="11678" spans="1:1">
      <c r="A11678" s="22"/>
    </row>
    <row r="11679" spans="1:1">
      <c r="A11679" s="22"/>
    </row>
    <row r="11680" spans="1:1">
      <c r="A11680" s="22"/>
    </row>
    <row r="11681" spans="1:1">
      <c r="A11681" s="22"/>
    </row>
    <row r="11682" spans="1:1">
      <c r="A11682" s="22"/>
    </row>
    <row r="11683" spans="1:1">
      <c r="A11683" s="22"/>
    </row>
    <row r="11684" spans="1:1">
      <c r="A11684" s="22"/>
    </row>
    <row r="11685" spans="1:1">
      <c r="A11685" s="22"/>
    </row>
    <row r="11686" spans="1:1">
      <c r="A11686" s="22"/>
    </row>
    <row r="11687" spans="1:1">
      <c r="A11687" s="22"/>
    </row>
    <row r="11688" spans="1:1">
      <c r="A11688" s="22"/>
    </row>
    <row r="11689" spans="1:1">
      <c r="A11689" s="22"/>
    </row>
    <row r="11690" spans="1:1">
      <c r="A11690" s="22"/>
    </row>
    <row r="11691" spans="1:1">
      <c r="A11691" s="22"/>
    </row>
    <row r="11692" spans="1:1">
      <c r="A11692" s="22"/>
    </row>
    <row r="11693" spans="1:1">
      <c r="A11693" s="22"/>
    </row>
    <row r="11694" spans="1:1">
      <c r="A11694" s="22"/>
    </row>
    <row r="11695" spans="1:1">
      <c r="A11695" s="22"/>
    </row>
    <row r="11696" spans="1:1">
      <c r="A11696" s="22"/>
    </row>
    <row r="11697" spans="1:1">
      <c r="A11697" s="22"/>
    </row>
    <row r="11698" spans="1:1">
      <c r="A11698" s="22"/>
    </row>
    <row r="11699" spans="1:1">
      <c r="A11699" s="22"/>
    </row>
    <row r="11700" spans="1:1">
      <c r="A11700" s="22"/>
    </row>
    <row r="11701" spans="1:1">
      <c r="A11701" s="22"/>
    </row>
    <row r="11702" spans="1:1">
      <c r="A11702" s="22"/>
    </row>
    <row r="11703" spans="1:1">
      <c r="A11703" s="22"/>
    </row>
    <row r="11704" spans="1:1">
      <c r="A11704" s="22"/>
    </row>
    <row r="11705" spans="1:1">
      <c r="A11705" s="22"/>
    </row>
    <row r="11706" spans="1:1">
      <c r="A11706" s="22"/>
    </row>
    <row r="11707" spans="1:1">
      <c r="A11707" s="22"/>
    </row>
    <row r="11708" spans="1:1">
      <c r="A11708" s="22"/>
    </row>
    <row r="11709" spans="1:1">
      <c r="A11709" s="22"/>
    </row>
    <row r="11710" spans="1:1">
      <c r="A11710" s="22"/>
    </row>
    <row r="11711" spans="1:1">
      <c r="A11711" s="22"/>
    </row>
    <row r="11712" spans="1:1">
      <c r="A11712" s="22"/>
    </row>
    <row r="11713" spans="1:1">
      <c r="A11713" s="22"/>
    </row>
    <row r="11714" spans="1:1">
      <c r="A11714" s="22"/>
    </row>
    <row r="11715" spans="1:1">
      <c r="A11715" s="22"/>
    </row>
    <row r="11716" spans="1:1">
      <c r="A11716" s="22"/>
    </row>
    <row r="11717" spans="1:1">
      <c r="A11717" s="22"/>
    </row>
    <row r="11718" spans="1:1">
      <c r="A11718" s="22"/>
    </row>
    <row r="11719" spans="1:1">
      <c r="A11719" s="22"/>
    </row>
    <row r="11720" spans="1:1">
      <c r="A11720" s="22"/>
    </row>
    <row r="11721" spans="1:1">
      <c r="A11721" s="22"/>
    </row>
    <row r="11722" spans="1:1">
      <c r="A11722" s="22"/>
    </row>
    <row r="11723" spans="1:1">
      <c r="A11723" s="22"/>
    </row>
    <row r="11724" spans="1:1">
      <c r="A11724" s="22"/>
    </row>
    <row r="11725" spans="1:1">
      <c r="A11725" s="22"/>
    </row>
    <row r="11726" spans="1:1">
      <c r="A11726" s="22"/>
    </row>
    <row r="11727" spans="1:1">
      <c r="A11727" s="22"/>
    </row>
    <row r="11728" spans="1:1">
      <c r="A11728" s="22"/>
    </row>
    <row r="11729" spans="1:1">
      <c r="A11729" s="22"/>
    </row>
    <row r="11730" spans="1:1">
      <c r="A11730" s="22"/>
    </row>
    <row r="11731" spans="1:1">
      <c r="A11731" s="22"/>
    </row>
    <row r="11732" spans="1:1">
      <c r="A11732" s="22"/>
    </row>
    <row r="11733" spans="1:1">
      <c r="A11733" s="22"/>
    </row>
    <row r="11734" spans="1:1">
      <c r="A11734" s="22"/>
    </row>
    <row r="11735" spans="1:1">
      <c r="A11735" s="22"/>
    </row>
    <row r="11736" spans="1:1">
      <c r="A11736" s="22"/>
    </row>
    <row r="11737" spans="1:1">
      <c r="A11737" s="22"/>
    </row>
    <row r="11738" spans="1:1">
      <c r="A11738" s="22"/>
    </row>
    <row r="11739" spans="1:1">
      <c r="A11739" s="22"/>
    </row>
    <row r="11740" spans="1:1">
      <c r="A11740" s="22"/>
    </row>
    <row r="11741" spans="1:1">
      <c r="A11741" s="22"/>
    </row>
    <row r="11742" spans="1:1">
      <c r="A11742" s="22"/>
    </row>
    <row r="11743" spans="1:1">
      <c r="A11743" s="22"/>
    </row>
    <row r="11744" spans="1:1">
      <c r="A11744" s="22"/>
    </row>
    <row r="11745" spans="1:1">
      <c r="A11745" s="22"/>
    </row>
    <row r="11746" spans="1:1">
      <c r="A11746" s="22"/>
    </row>
    <row r="11747" spans="1:1">
      <c r="A11747" s="22"/>
    </row>
    <row r="11748" spans="1:1">
      <c r="A11748" s="22"/>
    </row>
    <row r="11749" spans="1:1">
      <c r="A11749" s="22"/>
    </row>
    <row r="11750" spans="1:1">
      <c r="A11750" s="22"/>
    </row>
    <row r="11751" spans="1:1">
      <c r="A11751" s="22"/>
    </row>
    <row r="11752" spans="1:1">
      <c r="A11752" s="22"/>
    </row>
    <row r="11753" spans="1:1">
      <c r="A11753" s="22"/>
    </row>
    <row r="11754" spans="1:1">
      <c r="A11754" s="22"/>
    </row>
    <row r="11755" spans="1:1">
      <c r="A11755" s="22"/>
    </row>
    <row r="11756" spans="1:1">
      <c r="A11756" s="22"/>
    </row>
    <row r="11757" spans="1:1">
      <c r="A11757" s="22"/>
    </row>
    <row r="11758" spans="1:1">
      <c r="A11758" s="22"/>
    </row>
    <row r="11759" spans="1:1">
      <c r="A11759" s="22"/>
    </row>
    <row r="11760" spans="1:1">
      <c r="A11760" s="22"/>
    </row>
    <row r="11761" spans="1:1">
      <c r="A11761" s="22"/>
    </row>
    <row r="11762" spans="1:1">
      <c r="A11762" s="22"/>
    </row>
    <row r="11763" spans="1:1">
      <c r="A11763" s="22"/>
    </row>
    <row r="11764" spans="1:1">
      <c r="A11764" s="22"/>
    </row>
    <row r="11765" spans="1:1">
      <c r="A11765" s="22"/>
    </row>
    <row r="11766" spans="1:1">
      <c r="A11766" s="22"/>
    </row>
    <row r="11767" spans="1:1">
      <c r="A11767" s="22"/>
    </row>
    <row r="11768" spans="1:1">
      <c r="A11768" s="22"/>
    </row>
    <row r="11769" spans="1:1">
      <c r="A11769" s="22"/>
    </row>
    <row r="11770" spans="1:1">
      <c r="A11770" s="22"/>
    </row>
    <row r="11771" spans="1:1">
      <c r="A11771" s="22"/>
    </row>
    <row r="11772" spans="1:1">
      <c r="A11772" s="22"/>
    </row>
    <row r="11773" spans="1:1">
      <c r="A11773" s="22"/>
    </row>
    <row r="11774" spans="1:1">
      <c r="A11774" s="22"/>
    </row>
    <row r="11775" spans="1:1">
      <c r="A11775" s="22"/>
    </row>
    <row r="11776" spans="1:1">
      <c r="A11776" s="22"/>
    </row>
    <row r="11777" spans="1:1">
      <c r="A11777" s="22"/>
    </row>
    <row r="11778" spans="1:1">
      <c r="A11778" s="22"/>
    </row>
    <row r="11779" spans="1:1">
      <c r="A11779" s="22"/>
    </row>
    <row r="11780" spans="1:1">
      <c r="A11780" s="22"/>
    </row>
    <row r="11781" spans="1:1">
      <c r="A11781" s="22"/>
    </row>
    <row r="11782" spans="1:1">
      <c r="A11782" s="22"/>
    </row>
    <row r="11783" spans="1:1">
      <c r="A11783" s="22"/>
    </row>
    <row r="11784" spans="1:1">
      <c r="A11784" s="22"/>
    </row>
    <row r="11785" spans="1:1">
      <c r="A11785" s="22"/>
    </row>
    <row r="11786" spans="1:1">
      <c r="A11786" s="22"/>
    </row>
    <row r="11787" spans="1:1">
      <c r="A11787" s="22"/>
    </row>
    <row r="11788" spans="1:1">
      <c r="A11788" s="22"/>
    </row>
    <row r="11789" spans="1:1">
      <c r="A11789" s="22"/>
    </row>
    <row r="11790" spans="1:1">
      <c r="A11790" s="22"/>
    </row>
    <row r="11791" spans="1:1">
      <c r="A11791" s="22"/>
    </row>
    <row r="11792" spans="1:1">
      <c r="A11792" s="22"/>
    </row>
    <row r="11793" spans="1:1">
      <c r="A11793" s="22"/>
    </row>
    <row r="11794" spans="1:1">
      <c r="A11794" s="22"/>
    </row>
    <row r="11795" spans="1:1">
      <c r="A11795" s="22"/>
    </row>
    <row r="11796" spans="1:1">
      <c r="A11796" s="22"/>
    </row>
    <row r="11797" spans="1:1">
      <c r="A11797" s="22"/>
    </row>
    <row r="11798" spans="1:1">
      <c r="A11798" s="22"/>
    </row>
    <row r="11799" spans="1:1">
      <c r="A11799" s="22"/>
    </row>
    <row r="11800" spans="1:1">
      <c r="A11800" s="22"/>
    </row>
    <row r="11801" spans="1:1">
      <c r="A11801" s="22"/>
    </row>
    <row r="11802" spans="1:1">
      <c r="A11802" s="22"/>
    </row>
    <row r="11803" spans="1:1">
      <c r="A11803" s="22"/>
    </row>
    <row r="11804" spans="1:1">
      <c r="A11804" s="22"/>
    </row>
    <row r="11805" spans="1:1">
      <c r="A11805" s="22"/>
    </row>
    <row r="11806" spans="1:1">
      <c r="A11806" s="22"/>
    </row>
    <row r="11807" spans="1:1">
      <c r="A11807" s="22"/>
    </row>
    <row r="11808" spans="1:1">
      <c r="A11808" s="22"/>
    </row>
    <row r="11809" spans="1:1">
      <c r="A11809" s="22"/>
    </row>
    <row r="11810" spans="1:1">
      <c r="A11810" s="22"/>
    </row>
    <row r="11811" spans="1:1">
      <c r="A11811" s="22"/>
    </row>
    <row r="11812" spans="1:1">
      <c r="A11812" s="22"/>
    </row>
    <row r="11813" spans="1:1">
      <c r="A11813" s="22"/>
    </row>
    <row r="11814" spans="1:1">
      <c r="A11814" s="22"/>
    </row>
    <row r="11815" spans="1:1">
      <c r="A11815" s="22"/>
    </row>
    <row r="11816" spans="1:1">
      <c r="A11816" s="22"/>
    </row>
    <row r="11817" spans="1:1">
      <c r="A11817" s="22"/>
    </row>
    <row r="11818" spans="1:1">
      <c r="A11818" s="22"/>
    </row>
    <row r="11819" spans="1:1">
      <c r="A11819" s="22"/>
    </row>
    <row r="11820" spans="1:1">
      <c r="A11820" s="22"/>
    </row>
    <row r="11821" spans="1:1">
      <c r="A11821" s="22"/>
    </row>
    <row r="11822" spans="1:1">
      <c r="A11822" s="22"/>
    </row>
    <row r="11823" spans="1:1">
      <c r="A11823" s="22"/>
    </row>
    <row r="11824" spans="1:1">
      <c r="A11824" s="22"/>
    </row>
    <row r="11825" spans="1:1">
      <c r="A11825" s="22"/>
    </row>
    <row r="11826" spans="1:1">
      <c r="A11826" s="22"/>
    </row>
    <row r="11827" spans="1:1">
      <c r="A11827" s="22"/>
    </row>
    <row r="11828" spans="1:1">
      <c r="A11828" s="22"/>
    </row>
    <row r="11829" spans="1:1">
      <c r="A11829" s="22"/>
    </row>
    <row r="11830" spans="1:1">
      <c r="A11830" s="22"/>
    </row>
    <row r="11831" spans="1:1">
      <c r="A11831" s="22"/>
    </row>
    <row r="11832" spans="1:1">
      <c r="A11832" s="22"/>
    </row>
    <row r="11833" spans="1:1">
      <c r="A11833" s="22"/>
    </row>
    <row r="11834" spans="1:1">
      <c r="A11834" s="22"/>
    </row>
    <row r="11835" spans="1:1">
      <c r="A11835" s="22"/>
    </row>
    <row r="11836" spans="1:1">
      <c r="A11836" s="22"/>
    </row>
    <row r="11837" spans="1:1">
      <c r="A11837" s="22"/>
    </row>
    <row r="11838" spans="1:1">
      <c r="A11838" s="22"/>
    </row>
    <row r="11839" spans="1:1">
      <c r="A11839" s="22"/>
    </row>
    <row r="11840" spans="1:1">
      <c r="A11840" s="22"/>
    </row>
    <row r="11841" spans="1:1">
      <c r="A11841" s="22"/>
    </row>
    <row r="11842" spans="1:1">
      <c r="A11842" s="22"/>
    </row>
    <row r="11843" spans="1:1">
      <c r="A11843" s="22"/>
    </row>
    <row r="11844" spans="1:1">
      <c r="A11844" s="22"/>
    </row>
    <row r="11845" spans="1:1">
      <c r="A11845" s="22"/>
    </row>
    <row r="11846" spans="1:1">
      <c r="A11846" s="22"/>
    </row>
    <row r="11847" spans="1:1">
      <c r="A11847" s="22"/>
    </row>
    <row r="11848" spans="1:1">
      <c r="A11848" s="22"/>
    </row>
    <row r="11849" spans="1:1">
      <c r="A11849" s="22"/>
    </row>
    <row r="11850" spans="1:1">
      <c r="A11850" s="22"/>
    </row>
    <row r="11851" spans="1:1">
      <c r="A11851" s="22"/>
    </row>
    <row r="11852" spans="1:1">
      <c r="A11852" s="22"/>
    </row>
    <row r="11853" spans="1:1">
      <c r="A11853" s="22"/>
    </row>
    <row r="11854" spans="1:1">
      <c r="A11854" s="22"/>
    </row>
    <row r="11855" spans="1:1">
      <c r="A11855" s="22"/>
    </row>
    <row r="11856" spans="1:1">
      <c r="A11856" s="22"/>
    </row>
    <row r="11857" spans="1:1">
      <c r="A11857" s="22"/>
    </row>
    <row r="11858" spans="1:1">
      <c r="A11858" s="22"/>
    </row>
    <row r="11859" spans="1:1">
      <c r="A11859" s="22"/>
    </row>
    <row r="11860" spans="1:1">
      <c r="A11860" s="22"/>
    </row>
    <row r="11861" spans="1:1">
      <c r="A11861" s="22"/>
    </row>
    <row r="11862" spans="1:1">
      <c r="A11862" s="22"/>
    </row>
    <row r="11863" spans="1:1">
      <c r="A11863" s="22"/>
    </row>
    <row r="11864" spans="1:1">
      <c r="A11864" s="22"/>
    </row>
    <row r="11865" spans="1:1">
      <c r="A11865" s="22"/>
    </row>
    <row r="11866" spans="1:1">
      <c r="A11866" s="22"/>
    </row>
    <row r="11867" spans="1:1">
      <c r="A11867" s="22"/>
    </row>
    <row r="11868" spans="1:1">
      <c r="A11868" s="22"/>
    </row>
    <row r="11869" spans="1:1">
      <c r="A11869" s="22"/>
    </row>
    <row r="11870" spans="1:1">
      <c r="A11870" s="22"/>
    </row>
    <row r="11871" spans="1:1">
      <c r="A11871" s="22"/>
    </row>
    <row r="11872" spans="1:1">
      <c r="A11872" s="22"/>
    </row>
    <row r="11873" spans="1:1">
      <c r="A11873" s="22"/>
    </row>
    <row r="11874" spans="1:1">
      <c r="A11874" s="22"/>
    </row>
    <row r="11875" spans="1:1">
      <c r="A11875" s="22"/>
    </row>
    <row r="11876" spans="1:1">
      <c r="A11876" s="22"/>
    </row>
    <row r="11877" spans="1:1">
      <c r="A11877" s="22"/>
    </row>
    <row r="11878" spans="1:1">
      <c r="A11878" s="22"/>
    </row>
    <row r="11879" spans="1:1">
      <c r="A11879" s="22"/>
    </row>
    <row r="11880" spans="1:1">
      <c r="A11880" s="22"/>
    </row>
    <row r="11881" spans="1:1">
      <c r="A11881" s="22"/>
    </row>
    <row r="11882" spans="1:1">
      <c r="A11882" s="22"/>
    </row>
    <row r="11883" spans="1:1">
      <c r="A11883" s="22"/>
    </row>
    <row r="11884" spans="1:1">
      <c r="A11884" s="22"/>
    </row>
    <row r="11885" spans="1:1">
      <c r="A11885" s="22"/>
    </row>
    <row r="11886" spans="1:1">
      <c r="A11886" s="22"/>
    </row>
    <row r="11887" spans="1:1">
      <c r="A11887" s="22"/>
    </row>
    <row r="11888" spans="1:1">
      <c r="A11888" s="22"/>
    </row>
    <row r="11889" spans="1:1">
      <c r="A11889" s="22"/>
    </row>
    <row r="11890" spans="1:1">
      <c r="A11890" s="22"/>
    </row>
    <row r="11891" spans="1:1">
      <c r="A11891" s="22"/>
    </row>
    <row r="11892" spans="1:1">
      <c r="A11892" s="22"/>
    </row>
    <row r="11893" spans="1:1">
      <c r="A11893" s="22"/>
    </row>
    <row r="11894" spans="1:1">
      <c r="A11894" s="22"/>
    </row>
    <row r="11895" spans="1:1">
      <c r="A11895" s="22"/>
    </row>
    <row r="11896" spans="1:1">
      <c r="A11896" s="22"/>
    </row>
    <row r="11897" spans="1:1">
      <c r="A11897" s="22"/>
    </row>
    <row r="11898" spans="1:1">
      <c r="A11898" s="22"/>
    </row>
    <row r="11899" spans="1:1">
      <c r="A11899" s="22"/>
    </row>
    <row r="11900" spans="1:1">
      <c r="A11900" s="22"/>
    </row>
    <row r="11901" spans="1:1">
      <c r="A11901" s="22"/>
    </row>
    <row r="11902" spans="1:1">
      <c r="A11902" s="22"/>
    </row>
    <row r="11903" spans="1:1">
      <c r="A11903" s="22"/>
    </row>
    <row r="11904" spans="1:1">
      <c r="A11904" s="22"/>
    </row>
    <row r="11905" spans="1:1">
      <c r="A11905" s="22"/>
    </row>
    <row r="11906" spans="1:1">
      <c r="A11906" s="22"/>
    </row>
    <row r="11907" spans="1:1">
      <c r="A11907" s="22"/>
    </row>
    <row r="11908" spans="1:1">
      <c r="A11908" s="22"/>
    </row>
    <row r="11909" spans="1:1">
      <c r="A11909" s="22"/>
    </row>
    <row r="11910" spans="1:1">
      <c r="A11910" s="22"/>
    </row>
    <row r="11911" spans="1:1">
      <c r="A11911" s="22"/>
    </row>
    <row r="11912" spans="1:1">
      <c r="A11912" s="22"/>
    </row>
    <row r="11913" spans="1:1">
      <c r="A11913" s="22"/>
    </row>
    <row r="11914" spans="1:1">
      <c r="A11914" s="22"/>
    </row>
    <row r="11915" spans="1:1">
      <c r="A11915" s="22"/>
    </row>
    <row r="11916" spans="1:1">
      <c r="A11916" s="22"/>
    </row>
    <row r="11917" spans="1:1">
      <c r="A11917" s="22"/>
    </row>
    <row r="11918" spans="1:1">
      <c r="A11918" s="22"/>
    </row>
    <row r="11919" spans="1:1">
      <c r="A11919" s="22"/>
    </row>
    <row r="11920" spans="1:1">
      <c r="A11920" s="22"/>
    </row>
    <row r="11921" spans="1:1">
      <c r="A11921" s="22"/>
    </row>
    <row r="11922" spans="1:1">
      <c r="A11922" s="22"/>
    </row>
    <row r="11923" spans="1:1">
      <c r="A11923" s="22"/>
    </row>
    <row r="11924" spans="1:1">
      <c r="A11924" s="22"/>
    </row>
    <row r="11925" spans="1:1">
      <c r="A11925" s="22"/>
    </row>
    <row r="11926" spans="1:1">
      <c r="A11926" s="22"/>
    </row>
    <row r="11927" spans="1:1">
      <c r="A11927" s="22"/>
    </row>
    <row r="11928" spans="1:1">
      <c r="A11928" s="22"/>
    </row>
    <row r="11929" spans="1:1">
      <c r="A11929" s="22"/>
    </row>
    <row r="11930" spans="1:1">
      <c r="A11930" s="22"/>
    </row>
    <row r="11931" spans="1:1">
      <c r="A11931" s="22"/>
    </row>
    <row r="11932" spans="1:1">
      <c r="A11932" s="22"/>
    </row>
    <row r="11933" spans="1:1">
      <c r="A11933" s="22"/>
    </row>
    <row r="11934" spans="1:1">
      <c r="A11934" s="22"/>
    </row>
    <row r="11935" spans="1:1">
      <c r="A11935" s="22"/>
    </row>
    <row r="11936" spans="1:1">
      <c r="A11936" s="22"/>
    </row>
    <row r="11937" spans="1:1">
      <c r="A11937" s="22"/>
    </row>
    <row r="11938" spans="1:1">
      <c r="A11938" s="22"/>
    </row>
    <row r="11939" spans="1:1">
      <c r="A11939" s="22"/>
    </row>
    <row r="11940" spans="1:1">
      <c r="A11940" s="22"/>
    </row>
    <row r="11941" spans="1:1">
      <c r="A11941" s="22"/>
    </row>
    <row r="11942" spans="1:1">
      <c r="A11942" s="22"/>
    </row>
    <row r="11943" spans="1:1">
      <c r="A11943" s="22"/>
    </row>
    <row r="11944" spans="1:1">
      <c r="A11944" s="22"/>
    </row>
    <row r="11945" spans="1:1">
      <c r="A11945" s="22"/>
    </row>
    <row r="11946" spans="1:1">
      <c r="A11946" s="22"/>
    </row>
    <row r="11947" spans="1:1">
      <c r="A11947" s="22"/>
    </row>
    <row r="11948" spans="1:1">
      <c r="A11948" s="22"/>
    </row>
    <row r="11949" spans="1:1">
      <c r="A11949" s="22"/>
    </row>
    <row r="11950" spans="1:1">
      <c r="A11950" s="22"/>
    </row>
    <row r="11951" spans="1:1">
      <c r="A11951" s="22"/>
    </row>
    <row r="11952" spans="1:1">
      <c r="A11952" s="22"/>
    </row>
    <row r="11953" spans="1:1">
      <c r="A11953" s="22"/>
    </row>
    <row r="11954" spans="1:1">
      <c r="A11954" s="22"/>
    </row>
    <row r="11955" spans="1:1">
      <c r="A11955" s="22"/>
    </row>
    <row r="11956" spans="1:1">
      <c r="A11956" s="22"/>
    </row>
    <row r="11957" spans="1:1">
      <c r="A11957" s="22"/>
    </row>
    <row r="11958" spans="1:1">
      <c r="A11958" s="22"/>
    </row>
    <row r="11959" spans="1:1">
      <c r="A11959" s="22"/>
    </row>
    <row r="11960" spans="1:1">
      <c r="A11960" s="22"/>
    </row>
    <row r="11961" spans="1:1">
      <c r="A11961" s="22"/>
    </row>
    <row r="11962" spans="1:1">
      <c r="A11962" s="22"/>
    </row>
    <row r="11963" spans="1:1">
      <c r="A11963" s="22"/>
    </row>
    <row r="11964" spans="1:1">
      <c r="A11964" s="22"/>
    </row>
    <row r="11965" spans="1:1">
      <c r="A11965" s="22"/>
    </row>
    <row r="11966" spans="1:1">
      <c r="A11966" s="22"/>
    </row>
    <row r="11967" spans="1:1">
      <c r="A11967" s="22"/>
    </row>
    <row r="11968" spans="1:1">
      <c r="A11968" s="22"/>
    </row>
    <row r="11969" spans="1:1">
      <c r="A11969" s="22"/>
    </row>
    <row r="11970" spans="1:1">
      <c r="A11970" s="22"/>
    </row>
    <row r="11971" spans="1:1">
      <c r="A11971" s="22"/>
    </row>
    <row r="11972" spans="1:1">
      <c r="A11972" s="22"/>
    </row>
    <row r="11973" spans="1:1">
      <c r="A11973" s="22"/>
    </row>
    <row r="11974" spans="1:1">
      <c r="A11974" s="22"/>
    </row>
    <row r="11975" spans="1:1">
      <c r="A11975" s="22"/>
    </row>
    <row r="11976" spans="1:1">
      <c r="A11976" s="22"/>
    </row>
    <row r="11977" spans="1:1">
      <c r="A11977" s="22"/>
    </row>
    <row r="11978" spans="1:1">
      <c r="A11978" s="22"/>
    </row>
    <row r="11979" spans="1:1">
      <c r="A11979" s="22"/>
    </row>
    <row r="11980" spans="1:1">
      <c r="A11980" s="22"/>
    </row>
    <row r="11981" spans="1:1">
      <c r="A11981" s="22"/>
    </row>
    <row r="11982" spans="1:1">
      <c r="A11982" s="22"/>
    </row>
    <row r="11983" spans="1:1">
      <c r="A11983" s="22"/>
    </row>
    <row r="11984" spans="1:1">
      <c r="A11984" s="22"/>
    </row>
    <row r="11985" spans="1:1">
      <c r="A11985" s="22"/>
    </row>
    <row r="11986" spans="1:1">
      <c r="A11986" s="22"/>
    </row>
    <row r="11987" spans="1:1">
      <c r="A11987" s="22"/>
    </row>
    <row r="11988" spans="1:1">
      <c r="A11988" s="22"/>
    </row>
    <row r="11989" spans="1:1">
      <c r="A11989" s="22"/>
    </row>
    <row r="11990" spans="1:1">
      <c r="A11990" s="22"/>
    </row>
    <row r="11991" spans="1:1">
      <c r="A11991" s="22"/>
    </row>
    <row r="11992" spans="1:1">
      <c r="A11992" s="22"/>
    </row>
    <row r="11993" spans="1:1">
      <c r="A11993" s="22"/>
    </row>
    <row r="11994" spans="1:1">
      <c r="A11994" s="22"/>
    </row>
    <row r="11995" spans="1:1">
      <c r="A11995" s="22"/>
    </row>
    <row r="11996" spans="1:1">
      <c r="A11996" s="22"/>
    </row>
    <row r="11997" spans="1:1">
      <c r="A11997" s="22"/>
    </row>
    <row r="11998" spans="1:1">
      <c r="A11998" s="22"/>
    </row>
    <row r="11999" spans="1:1">
      <c r="A11999" s="22"/>
    </row>
    <row r="12000" spans="1:1">
      <c r="A12000" s="22"/>
    </row>
    <row r="12001" spans="1:1">
      <c r="A12001" s="22"/>
    </row>
    <row r="12002" spans="1:1">
      <c r="A12002" s="22"/>
    </row>
    <row r="12003" spans="1:1">
      <c r="A12003" s="22"/>
    </row>
    <row r="12004" spans="1:1">
      <c r="A12004" s="22"/>
    </row>
    <row r="12005" spans="1:1">
      <c r="A12005" s="22"/>
    </row>
    <row r="12006" spans="1:1">
      <c r="A12006" s="22"/>
    </row>
    <row r="12007" spans="1:1">
      <c r="A12007" s="22"/>
    </row>
    <row r="12008" spans="1:1">
      <c r="A12008" s="22"/>
    </row>
    <row r="12009" spans="1:1">
      <c r="A12009" s="22"/>
    </row>
    <row r="12010" spans="1:1">
      <c r="A12010" s="22"/>
    </row>
    <row r="12011" spans="1:1">
      <c r="A12011" s="22"/>
    </row>
    <row r="12012" spans="1:1">
      <c r="A12012" s="22"/>
    </row>
    <row r="12013" spans="1:1">
      <c r="A12013" s="22"/>
    </row>
    <row r="12014" spans="1:1">
      <c r="A12014" s="22"/>
    </row>
    <row r="12015" spans="1:1">
      <c r="A12015" s="22"/>
    </row>
    <row r="12016" spans="1:1">
      <c r="A12016" s="22"/>
    </row>
    <row r="12017" spans="1:1">
      <c r="A12017" s="22"/>
    </row>
    <row r="12018" spans="1:1">
      <c r="A12018" s="22"/>
    </row>
    <row r="12019" spans="1:1">
      <c r="A12019" s="22"/>
    </row>
    <row r="12020" spans="1:1">
      <c r="A12020" s="22"/>
    </row>
    <row r="12021" spans="1:1">
      <c r="A12021" s="22"/>
    </row>
    <row r="12022" spans="1:1">
      <c r="A12022" s="22"/>
    </row>
    <row r="12023" spans="1:1">
      <c r="A12023" s="22"/>
    </row>
    <row r="12024" spans="1:1">
      <c r="A12024" s="22"/>
    </row>
    <row r="12025" spans="1:1">
      <c r="A12025" s="22"/>
    </row>
    <row r="12026" spans="1:1">
      <c r="A12026" s="22"/>
    </row>
    <row r="12027" spans="1:1">
      <c r="A12027" s="22"/>
    </row>
    <row r="12028" spans="1:1">
      <c r="A12028" s="22"/>
    </row>
    <row r="12029" spans="1:1">
      <c r="A12029" s="22"/>
    </row>
    <row r="12030" spans="1:1">
      <c r="A12030" s="22"/>
    </row>
    <row r="12031" spans="1:1">
      <c r="A12031" s="22"/>
    </row>
    <row r="12032" spans="1:1">
      <c r="A12032" s="22"/>
    </row>
    <row r="12033" spans="1:1">
      <c r="A12033" s="22"/>
    </row>
    <row r="12034" spans="1:1">
      <c r="A12034" s="22"/>
    </row>
    <row r="12035" spans="1:1">
      <c r="A12035" s="22"/>
    </row>
    <row r="12036" spans="1:1">
      <c r="A12036" s="22"/>
    </row>
    <row r="12037" spans="1:1">
      <c r="A12037" s="22"/>
    </row>
    <row r="12038" spans="1:1">
      <c r="A12038" s="22"/>
    </row>
    <row r="12039" spans="1:1">
      <c r="A12039" s="22"/>
    </row>
    <row r="12040" spans="1:1">
      <c r="A12040" s="22"/>
    </row>
    <row r="12041" spans="1:1">
      <c r="A12041" s="22"/>
    </row>
    <row r="12042" spans="1:1">
      <c r="A12042" s="22"/>
    </row>
    <row r="12043" spans="1:1">
      <c r="A12043" s="22"/>
    </row>
    <row r="12044" spans="1:1">
      <c r="A12044" s="22"/>
    </row>
    <row r="12045" spans="1:1">
      <c r="A12045" s="22"/>
    </row>
    <row r="12046" spans="1:1">
      <c r="A12046" s="22"/>
    </row>
    <row r="12047" spans="1:1">
      <c r="A12047" s="22"/>
    </row>
    <row r="12048" spans="1:1">
      <c r="A12048" s="22"/>
    </row>
    <row r="12049" spans="1:1">
      <c r="A12049" s="22"/>
    </row>
    <row r="12050" spans="1:1">
      <c r="A12050" s="22"/>
    </row>
    <row r="12051" spans="1:1">
      <c r="A12051" s="22"/>
    </row>
    <row r="12052" spans="1:1">
      <c r="A12052" s="22"/>
    </row>
    <row r="12053" spans="1:1">
      <c r="A12053" s="22"/>
    </row>
    <row r="12054" spans="1:1">
      <c r="A12054" s="22"/>
    </row>
    <row r="12055" spans="1:1">
      <c r="A12055" s="22"/>
    </row>
    <row r="12056" spans="1:1">
      <c r="A12056" s="22"/>
    </row>
    <row r="12057" spans="1:1">
      <c r="A12057" s="22"/>
    </row>
    <row r="12058" spans="1:1">
      <c r="A12058" s="22"/>
    </row>
    <row r="12059" spans="1:1">
      <c r="A12059" s="22"/>
    </row>
    <row r="12060" spans="1:1">
      <c r="A12060" s="22"/>
    </row>
    <row r="12061" spans="1:1">
      <c r="A12061" s="22"/>
    </row>
    <row r="12062" spans="1:1">
      <c r="A12062" s="22"/>
    </row>
    <row r="12063" spans="1:1">
      <c r="A12063" s="22"/>
    </row>
    <row r="12064" spans="1:1">
      <c r="A12064" s="22"/>
    </row>
    <row r="12065" spans="1:1">
      <c r="A12065" s="22"/>
    </row>
    <row r="12066" spans="1:1">
      <c r="A12066" s="22"/>
    </row>
    <row r="12067" spans="1:1">
      <c r="A12067" s="22"/>
    </row>
    <row r="12068" spans="1:1">
      <c r="A12068" s="22"/>
    </row>
    <row r="12069" spans="1:1">
      <c r="A12069" s="22"/>
    </row>
    <row r="12070" spans="1:1">
      <c r="A12070" s="22"/>
    </row>
    <row r="12071" spans="1:1">
      <c r="A12071" s="22"/>
    </row>
    <row r="12072" spans="1:1">
      <c r="A12072" s="22"/>
    </row>
    <row r="12073" spans="1:1">
      <c r="A12073" s="22"/>
    </row>
    <row r="12074" spans="1:1">
      <c r="A12074" s="22"/>
    </row>
    <row r="12075" spans="1:1">
      <c r="A12075" s="22"/>
    </row>
    <row r="12076" spans="1:1">
      <c r="A12076" s="22"/>
    </row>
    <row r="12077" spans="1:1">
      <c r="A12077" s="22"/>
    </row>
    <row r="12078" spans="1:1">
      <c r="A12078" s="22"/>
    </row>
    <row r="12079" spans="1:1">
      <c r="A12079" s="22"/>
    </row>
    <row r="12080" spans="1:1">
      <c r="A12080" s="22"/>
    </row>
    <row r="12081" spans="1:1">
      <c r="A12081" s="22"/>
    </row>
    <row r="12082" spans="1:1">
      <c r="A12082" s="22"/>
    </row>
    <row r="12083" spans="1:1">
      <c r="A12083" s="22"/>
    </row>
    <row r="12084" spans="1:1">
      <c r="A12084" s="22"/>
    </row>
    <row r="12085" spans="1:1">
      <c r="A12085" s="22"/>
    </row>
    <row r="12086" spans="1:1">
      <c r="A12086" s="22"/>
    </row>
    <row r="12087" spans="1:1">
      <c r="A12087" s="22"/>
    </row>
    <row r="12088" spans="1:1">
      <c r="A12088" s="22"/>
    </row>
    <row r="12089" spans="1:1">
      <c r="A12089" s="22"/>
    </row>
    <row r="12090" spans="1:1">
      <c r="A12090" s="22"/>
    </row>
    <row r="12091" spans="1:1">
      <c r="A12091" s="22"/>
    </row>
    <row r="12092" spans="1:1">
      <c r="A12092" s="22"/>
    </row>
    <row r="12093" spans="1:1">
      <c r="A12093" s="22"/>
    </row>
    <row r="12094" spans="1:1">
      <c r="A12094" s="22"/>
    </row>
    <row r="12095" spans="1:1">
      <c r="A12095" s="22"/>
    </row>
    <row r="12096" spans="1:1">
      <c r="A12096" s="22"/>
    </row>
    <row r="12097" spans="1:1">
      <c r="A12097" s="22"/>
    </row>
    <row r="12098" spans="1:1">
      <c r="A12098" s="22"/>
    </row>
    <row r="12099" spans="1:1">
      <c r="A12099" s="22"/>
    </row>
    <row r="12100" spans="1:1">
      <c r="A12100" s="22"/>
    </row>
    <row r="12101" spans="1:1">
      <c r="A12101" s="22"/>
    </row>
    <row r="12102" spans="1:1">
      <c r="A12102" s="22"/>
    </row>
    <row r="12103" spans="1:1">
      <c r="A12103" s="22"/>
    </row>
    <row r="12104" spans="1:1">
      <c r="A12104" s="22"/>
    </row>
    <row r="12105" spans="1:1">
      <c r="A12105" s="22"/>
    </row>
    <row r="12106" spans="1:1">
      <c r="A12106" s="22"/>
    </row>
    <row r="12107" spans="1:1">
      <c r="A12107" s="22"/>
    </row>
    <row r="12108" spans="1:1">
      <c r="A12108" s="22"/>
    </row>
    <row r="12109" spans="1:1">
      <c r="A12109" s="22"/>
    </row>
    <row r="12110" spans="1:1">
      <c r="A12110" s="22"/>
    </row>
    <row r="12111" spans="1:1">
      <c r="A12111" s="22"/>
    </row>
    <row r="12112" spans="1:1">
      <c r="A12112" s="22"/>
    </row>
    <row r="12113" spans="1:1">
      <c r="A12113" s="22"/>
    </row>
    <row r="12114" spans="1:1">
      <c r="A12114" s="22"/>
    </row>
    <row r="12115" spans="1:1">
      <c r="A12115" s="22"/>
    </row>
    <row r="12116" spans="1:1">
      <c r="A12116" s="22"/>
    </row>
    <row r="12117" spans="1:1">
      <c r="A12117" s="22"/>
    </row>
    <row r="12118" spans="1:1">
      <c r="A12118" s="22"/>
    </row>
    <row r="12119" spans="1:1">
      <c r="A12119" s="22"/>
    </row>
    <row r="12120" spans="1:1">
      <c r="A12120" s="22"/>
    </row>
    <row r="12121" spans="1:1">
      <c r="A12121" s="22"/>
    </row>
    <row r="12122" spans="1:1">
      <c r="A12122" s="22"/>
    </row>
    <row r="12123" spans="1:1">
      <c r="A12123" s="22"/>
    </row>
    <row r="12124" spans="1:1">
      <c r="A12124" s="22"/>
    </row>
    <row r="12125" spans="1:1">
      <c r="A12125" s="22"/>
    </row>
    <row r="12126" spans="1:1">
      <c r="A12126" s="22"/>
    </row>
    <row r="12127" spans="1:1">
      <c r="A12127" s="22"/>
    </row>
    <row r="12128" spans="1:1">
      <c r="A12128" s="22"/>
    </row>
    <row r="12129" spans="1:1">
      <c r="A12129" s="22"/>
    </row>
    <row r="12130" spans="1:1">
      <c r="A12130" s="22"/>
    </row>
    <row r="12131" spans="1:1">
      <c r="A12131" s="22"/>
    </row>
    <row r="12132" spans="1:1">
      <c r="A12132" s="22"/>
    </row>
    <row r="12133" spans="1:1">
      <c r="A12133" s="22"/>
    </row>
    <row r="12134" spans="1:1">
      <c r="A12134" s="22"/>
    </row>
    <row r="12135" spans="1:1">
      <c r="A12135" s="22"/>
    </row>
    <row r="12136" spans="1:1">
      <c r="A12136" s="22"/>
    </row>
    <row r="12137" spans="1:1">
      <c r="A12137" s="22"/>
    </row>
    <row r="12138" spans="1:1">
      <c r="A12138" s="22"/>
    </row>
    <row r="12139" spans="1:1">
      <c r="A12139" s="22"/>
    </row>
    <row r="12140" spans="1:1">
      <c r="A12140" s="22"/>
    </row>
    <row r="12141" spans="1:1">
      <c r="A12141" s="22"/>
    </row>
    <row r="12142" spans="1:1">
      <c r="A12142" s="22"/>
    </row>
    <row r="12143" spans="1:1">
      <c r="A12143" s="22"/>
    </row>
    <row r="12144" spans="1:1">
      <c r="A12144" s="22"/>
    </row>
    <row r="12145" spans="1:1">
      <c r="A12145" s="22"/>
    </row>
    <row r="12146" spans="1:1">
      <c r="A12146" s="22"/>
    </row>
    <row r="12147" spans="1:1">
      <c r="A12147" s="22"/>
    </row>
    <row r="12148" spans="1:1">
      <c r="A12148" s="22"/>
    </row>
    <row r="12149" spans="1:1">
      <c r="A12149" s="22"/>
    </row>
    <row r="12150" spans="1:1">
      <c r="A12150" s="22"/>
    </row>
    <row r="12151" spans="1:1">
      <c r="A12151" s="22"/>
    </row>
    <row r="12152" spans="1:1">
      <c r="A12152" s="22"/>
    </row>
    <row r="12153" spans="1:1">
      <c r="A12153" s="22"/>
    </row>
    <row r="12154" spans="1:1">
      <c r="A12154" s="22"/>
    </row>
    <row r="12155" spans="1:1">
      <c r="A12155" s="22"/>
    </row>
    <row r="12156" spans="1:1">
      <c r="A12156" s="22"/>
    </row>
    <row r="12157" spans="1:1">
      <c r="A12157" s="22"/>
    </row>
    <row r="12158" spans="1:1">
      <c r="A12158" s="22"/>
    </row>
    <row r="12159" spans="1:1">
      <c r="A12159" s="22"/>
    </row>
    <row r="12160" spans="1:1">
      <c r="A12160" s="22"/>
    </row>
    <row r="12161" spans="1:1">
      <c r="A12161" s="22"/>
    </row>
    <row r="12162" spans="1:1">
      <c r="A12162" s="22"/>
    </row>
    <row r="12163" spans="1:1">
      <c r="A12163" s="22"/>
    </row>
    <row r="12164" spans="1:1">
      <c r="A12164" s="22"/>
    </row>
    <row r="12165" spans="1:1">
      <c r="A12165" s="22"/>
    </row>
    <row r="12166" spans="1:1">
      <c r="A12166" s="22"/>
    </row>
    <row r="12167" spans="1:1">
      <c r="A12167" s="22"/>
    </row>
    <row r="12168" spans="1:1">
      <c r="A12168" s="22"/>
    </row>
    <row r="12169" spans="1:1">
      <c r="A12169" s="22"/>
    </row>
    <row r="12170" spans="1:1">
      <c r="A12170" s="22"/>
    </row>
    <row r="12171" spans="1:1">
      <c r="A12171" s="22"/>
    </row>
    <row r="12172" spans="1:1">
      <c r="A12172" s="22"/>
    </row>
    <row r="12173" spans="1:1">
      <c r="A12173" s="22"/>
    </row>
    <row r="12174" spans="1:1">
      <c r="A12174" s="22"/>
    </row>
    <row r="12175" spans="1:1">
      <c r="A12175" s="22"/>
    </row>
    <row r="12176" spans="1:1">
      <c r="A12176" s="22"/>
    </row>
    <row r="12177" spans="1:1">
      <c r="A12177" s="22"/>
    </row>
    <row r="12178" spans="1:1">
      <c r="A12178" s="22"/>
    </row>
    <row r="12179" spans="1:1">
      <c r="A12179" s="22"/>
    </row>
    <row r="12180" spans="1:1">
      <c r="A12180" s="22"/>
    </row>
    <row r="12181" spans="1:1">
      <c r="A12181" s="22"/>
    </row>
    <row r="12182" spans="1:1">
      <c r="A12182" s="22"/>
    </row>
    <row r="12183" spans="1:1">
      <c r="A12183" s="22"/>
    </row>
    <row r="12184" spans="1:1">
      <c r="A12184" s="22"/>
    </row>
    <row r="12185" spans="1:1">
      <c r="A12185" s="22"/>
    </row>
    <row r="12186" spans="1:1">
      <c r="A12186" s="22"/>
    </row>
    <row r="12187" spans="1:1">
      <c r="A12187" s="22"/>
    </row>
    <row r="12188" spans="1:1">
      <c r="A12188" s="22"/>
    </row>
    <row r="12189" spans="1:1">
      <c r="A12189" s="22"/>
    </row>
    <row r="12190" spans="1:1">
      <c r="A12190" s="22"/>
    </row>
    <row r="12191" spans="1:1">
      <c r="A12191" s="22"/>
    </row>
    <row r="12192" spans="1:1">
      <c r="A12192" s="22"/>
    </row>
    <row r="12193" spans="1:1">
      <c r="A12193" s="22"/>
    </row>
    <row r="12194" spans="1:1">
      <c r="A12194" s="22"/>
    </row>
    <row r="12195" spans="1:1">
      <c r="A12195" s="22"/>
    </row>
    <row r="12196" spans="1:1">
      <c r="A12196" s="22"/>
    </row>
    <row r="12197" spans="1:1">
      <c r="A12197" s="22"/>
    </row>
    <row r="12198" spans="1:1">
      <c r="A12198" s="22"/>
    </row>
    <row r="12199" spans="1:1">
      <c r="A12199" s="22"/>
    </row>
    <row r="12200" spans="1:1">
      <c r="A12200" s="22"/>
    </row>
    <row r="12201" spans="1:1">
      <c r="A12201" s="22"/>
    </row>
    <row r="12202" spans="1:1">
      <c r="A12202" s="22"/>
    </row>
    <row r="12203" spans="1:1">
      <c r="A12203" s="22"/>
    </row>
    <row r="12204" spans="1:1">
      <c r="A12204" s="22"/>
    </row>
    <row r="12205" spans="1:1">
      <c r="A12205" s="22"/>
    </row>
    <row r="12206" spans="1:1">
      <c r="A12206" s="22"/>
    </row>
    <row r="12207" spans="1:1">
      <c r="A12207" s="22"/>
    </row>
    <row r="12208" spans="1:1">
      <c r="A12208" s="22"/>
    </row>
    <row r="12209" spans="1:1">
      <c r="A12209" s="22"/>
    </row>
    <row r="12210" spans="1:1">
      <c r="A12210" s="22"/>
    </row>
    <row r="12211" spans="1:1">
      <c r="A12211" s="22"/>
    </row>
    <row r="12212" spans="1:1">
      <c r="A12212" s="22"/>
    </row>
    <row r="12213" spans="1:1">
      <c r="A12213" s="22"/>
    </row>
    <row r="12214" spans="1:1">
      <c r="A12214" s="22"/>
    </row>
    <row r="12215" spans="1:1">
      <c r="A12215" s="22"/>
    </row>
    <row r="12216" spans="1:1">
      <c r="A12216" s="22"/>
    </row>
    <row r="12217" spans="1:1">
      <c r="A12217" s="22"/>
    </row>
    <row r="12218" spans="1:1">
      <c r="A12218" s="22"/>
    </row>
    <row r="12219" spans="1:1">
      <c r="A12219" s="22"/>
    </row>
    <row r="12220" spans="1:1">
      <c r="A12220" s="22"/>
    </row>
    <row r="12221" spans="1:1">
      <c r="A12221" s="22"/>
    </row>
    <row r="12222" spans="1:1">
      <c r="A12222" s="22"/>
    </row>
    <row r="12223" spans="1:1">
      <c r="A12223" s="22"/>
    </row>
    <row r="12224" spans="1:1">
      <c r="A12224" s="22"/>
    </row>
    <row r="12225" spans="1:1">
      <c r="A12225" s="22"/>
    </row>
    <row r="12226" spans="1:1">
      <c r="A12226" s="22"/>
    </row>
    <row r="12227" spans="1:1">
      <c r="A12227" s="22"/>
    </row>
    <row r="12228" spans="1:1">
      <c r="A12228" s="22"/>
    </row>
    <row r="12229" spans="1:1">
      <c r="A12229" s="22"/>
    </row>
    <row r="12230" spans="1:1">
      <c r="A12230" s="22"/>
    </row>
    <row r="12231" spans="1:1">
      <c r="A12231" s="22"/>
    </row>
    <row r="12232" spans="1:1">
      <c r="A12232" s="22"/>
    </row>
    <row r="12233" spans="1:1">
      <c r="A12233" s="22"/>
    </row>
    <row r="12234" spans="1:1">
      <c r="A12234" s="22"/>
    </row>
    <row r="12235" spans="1:1">
      <c r="A12235" s="22"/>
    </row>
    <row r="12236" spans="1:1">
      <c r="A12236" s="22"/>
    </row>
    <row r="12237" spans="1:1">
      <c r="A12237" s="22"/>
    </row>
    <row r="12238" spans="1:1">
      <c r="A12238" s="22"/>
    </row>
    <row r="12239" spans="1:1">
      <c r="A12239" s="22"/>
    </row>
    <row r="12240" spans="1:1">
      <c r="A12240" s="22"/>
    </row>
    <row r="12241" spans="1:1">
      <c r="A12241" s="22"/>
    </row>
    <row r="12242" spans="1:1">
      <c r="A12242" s="22"/>
    </row>
    <row r="12243" spans="1:1">
      <c r="A12243" s="22"/>
    </row>
    <row r="12244" spans="1:1">
      <c r="A12244" s="22"/>
    </row>
    <row r="12245" spans="1:1">
      <c r="A12245" s="22"/>
    </row>
    <row r="12246" spans="1:1">
      <c r="A12246" s="22"/>
    </row>
    <row r="12247" spans="1:1">
      <c r="A12247" s="22"/>
    </row>
    <row r="12248" spans="1:1">
      <c r="A12248" s="22"/>
    </row>
    <row r="12249" spans="1:1">
      <c r="A12249" s="22"/>
    </row>
    <row r="12250" spans="1:1">
      <c r="A12250" s="22"/>
    </row>
    <row r="12251" spans="1:1">
      <c r="A12251" s="22"/>
    </row>
    <row r="12252" spans="1:1">
      <c r="A12252" s="22"/>
    </row>
    <row r="12253" spans="1:1">
      <c r="A12253" s="22"/>
    </row>
    <row r="12254" spans="1:1">
      <c r="A12254" s="22"/>
    </row>
    <row r="12255" spans="1:1">
      <c r="A12255" s="22"/>
    </row>
    <row r="12256" spans="1:1">
      <c r="A12256" s="22"/>
    </row>
    <row r="12257" spans="1:1">
      <c r="A12257" s="22"/>
    </row>
    <row r="12258" spans="1:1">
      <c r="A12258" s="22"/>
    </row>
    <row r="12259" spans="1:1">
      <c r="A12259" s="22"/>
    </row>
    <row r="12260" spans="1:1">
      <c r="A12260" s="22"/>
    </row>
    <row r="12261" spans="1:1">
      <c r="A12261" s="22"/>
    </row>
    <row r="12262" spans="1:1">
      <c r="A12262" s="22"/>
    </row>
    <row r="12263" spans="1:1">
      <c r="A12263" s="22"/>
    </row>
    <row r="12264" spans="1:1">
      <c r="A12264" s="22"/>
    </row>
    <row r="12265" spans="1:1">
      <c r="A12265" s="22"/>
    </row>
    <row r="12266" spans="1:1">
      <c r="A12266" s="22"/>
    </row>
    <row r="12267" spans="1:1">
      <c r="A12267" s="22"/>
    </row>
    <row r="12268" spans="1:1">
      <c r="A12268" s="22"/>
    </row>
    <row r="12269" spans="1:1">
      <c r="A12269" s="22"/>
    </row>
    <row r="12270" spans="1:1">
      <c r="A12270" s="22"/>
    </row>
    <row r="12271" spans="1:1">
      <c r="A12271" s="22"/>
    </row>
    <row r="12272" spans="1:1">
      <c r="A12272" s="22"/>
    </row>
    <row r="12273" spans="1:1">
      <c r="A12273" s="22"/>
    </row>
    <row r="12274" spans="1:1">
      <c r="A12274" s="22"/>
    </row>
    <row r="12275" spans="1:1">
      <c r="A12275" s="22"/>
    </row>
    <row r="12276" spans="1:1">
      <c r="A12276" s="22"/>
    </row>
    <row r="12277" spans="1:1">
      <c r="A12277" s="22"/>
    </row>
    <row r="12278" spans="1:1">
      <c r="A12278" s="22"/>
    </row>
    <row r="12279" spans="1:1">
      <c r="A12279" s="22"/>
    </row>
    <row r="12280" spans="1:1">
      <c r="A12280" s="22"/>
    </row>
    <row r="12281" spans="1:1">
      <c r="A12281" s="22"/>
    </row>
    <row r="12282" spans="1:1">
      <c r="A12282" s="22"/>
    </row>
    <row r="12283" spans="1:1">
      <c r="A12283" s="22"/>
    </row>
    <row r="12284" spans="1:1">
      <c r="A12284" s="22"/>
    </row>
    <row r="12285" spans="1:1">
      <c r="A12285" s="22"/>
    </row>
    <row r="12286" spans="1:1">
      <c r="A12286" s="22"/>
    </row>
    <row r="12287" spans="1:1">
      <c r="A12287" s="22"/>
    </row>
    <row r="12288" spans="1:1">
      <c r="A12288" s="22"/>
    </row>
    <row r="12289" spans="1:1">
      <c r="A12289" s="22"/>
    </row>
    <row r="12290" spans="1:1">
      <c r="A12290" s="22"/>
    </row>
    <row r="12291" spans="1:1">
      <c r="A12291" s="22"/>
    </row>
    <row r="12292" spans="1:1">
      <c r="A12292" s="22"/>
    </row>
    <row r="12293" spans="1:1">
      <c r="A12293" s="22"/>
    </row>
    <row r="12294" spans="1:1">
      <c r="A12294" s="22"/>
    </row>
    <row r="12295" spans="1:1">
      <c r="A12295" s="22"/>
    </row>
    <row r="12296" spans="1:1">
      <c r="A12296" s="22"/>
    </row>
    <row r="12297" spans="1:1">
      <c r="A12297" s="22"/>
    </row>
    <row r="12298" spans="1:1">
      <c r="A12298" s="22"/>
    </row>
    <row r="12299" spans="1:1">
      <c r="A12299" s="22"/>
    </row>
    <row r="12300" spans="1:1">
      <c r="A12300" s="22"/>
    </row>
    <row r="12301" spans="1:1">
      <c r="A12301" s="22"/>
    </row>
    <row r="12302" spans="1:1">
      <c r="A12302" s="22"/>
    </row>
    <row r="12303" spans="1:1">
      <c r="A12303" s="22"/>
    </row>
    <row r="12304" spans="1:1">
      <c r="A12304" s="22"/>
    </row>
    <row r="12305" spans="1:1">
      <c r="A12305" s="22"/>
    </row>
    <row r="12306" spans="1:1">
      <c r="A12306" s="22"/>
    </row>
    <row r="12307" spans="1:1">
      <c r="A12307" s="22"/>
    </row>
    <row r="12308" spans="1:1">
      <c r="A12308" s="22"/>
    </row>
    <row r="12309" spans="1:1">
      <c r="A12309" s="22"/>
    </row>
    <row r="12310" spans="1:1">
      <c r="A12310" s="22"/>
    </row>
    <row r="12311" spans="1:1">
      <c r="A12311" s="22"/>
    </row>
    <row r="12312" spans="1:1">
      <c r="A12312" s="22"/>
    </row>
    <row r="12313" spans="1:1">
      <c r="A12313" s="22"/>
    </row>
    <row r="12314" spans="1:1">
      <c r="A12314" s="22"/>
    </row>
    <row r="12315" spans="1:1">
      <c r="A12315" s="22"/>
    </row>
    <row r="12316" spans="1:1">
      <c r="A12316" s="22"/>
    </row>
    <row r="12317" spans="1:1">
      <c r="A12317" s="22"/>
    </row>
    <row r="12318" spans="1:1">
      <c r="A12318" s="22"/>
    </row>
    <row r="12319" spans="1:1">
      <c r="A12319" s="22"/>
    </row>
    <row r="12320" spans="1:1">
      <c r="A12320" s="22"/>
    </row>
    <row r="12321" spans="1:1">
      <c r="A12321" s="22"/>
    </row>
    <row r="12322" spans="1:1">
      <c r="A12322" s="22"/>
    </row>
    <row r="12323" spans="1:1">
      <c r="A12323" s="22"/>
    </row>
    <row r="12324" spans="1:1">
      <c r="A12324" s="22"/>
    </row>
    <row r="12325" spans="1:1">
      <c r="A12325" s="22"/>
    </row>
    <row r="12326" spans="1:1">
      <c r="A12326" s="22"/>
    </row>
    <row r="12327" spans="1:1">
      <c r="A12327" s="22"/>
    </row>
    <row r="12328" spans="1:1">
      <c r="A12328" s="22"/>
    </row>
    <row r="12329" spans="1:1">
      <c r="A12329" s="22"/>
    </row>
    <row r="12330" spans="1:1">
      <c r="A12330" s="22"/>
    </row>
    <row r="12331" spans="1:1">
      <c r="A12331" s="22"/>
    </row>
    <row r="12332" spans="1:1">
      <c r="A12332" s="22"/>
    </row>
    <row r="12333" spans="1:1">
      <c r="A12333" s="22"/>
    </row>
    <row r="12334" spans="1:1">
      <c r="A12334" s="22"/>
    </row>
    <row r="12335" spans="1:1">
      <c r="A12335" s="22"/>
    </row>
    <row r="12336" spans="1:1">
      <c r="A12336" s="22"/>
    </row>
    <row r="12337" spans="1:1">
      <c r="A12337" s="22"/>
    </row>
    <row r="12338" spans="1:1">
      <c r="A12338" s="22"/>
    </row>
    <row r="12339" spans="1:1">
      <c r="A12339" s="22"/>
    </row>
    <row r="12340" spans="1:1">
      <c r="A12340" s="22"/>
    </row>
    <row r="12341" spans="1:1">
      <c r="A12341" s="22"/>
    </row>
    <row r="12342" spans="1:1">
      <c r="A12342" s="22"/>
    </row>
    <row r="12343" spans="1:1">
      <c r="A12343" s="22"/>
    </row>
    <row r="12344" spans="1:1">
      <c r="A12344" s="22"/>
    </row>
    <row r="12345" spans="1:1">
      <c r="A12345" s="22"/>
    </row>
    <row r="12346" spans="1:1">
      <c r="A12346" s="22"/>
    </row>
    <row r="12347" spans="1:1">
      <c r="A12347" s="22"/>
    </row>
    <row r="12348" spans="1:1">
      <c r="A12348" s="22"/>
    </row>
    <row r="12349" spans="1:1">
      <c r="A12349" s="22"/>
    </row>
    <row r="12350" spans="1:1">
      <c r="A12350" s="22"/>
    </row>
    <row r="12351" spans="1:1">
      <c r="A12351" s="22"/>
    </row>
    <row r="12352" spans="1:1">
      <c r="A12352" s="22"/>
    </row>
    <row r="12353" spans="1:1">
      <c r="A12353" s="22"/>
    </row>
    <row r="12354" spans="1:1">
      <c r="A12354" s="22"/>
    </row>
    <row r="12355" spans="1:1">
      <c r="A12355" s="22"/>
    </row>
    <row r="12356" spans="1:1">
      <c r="A12356" s="22"/>
    </row>
    <row r="12357" spans="1:1">
      <c r="A12357" s="22"/>
    </row>
    <row r="12358" spans="1:1">
      <c r="A12358" s="22"/>
    </row>
    <row r="12359" spans="1:1">
      <c r="A12359" s="22"/>
    </row>
    <row r="12360" spans="1:1">
      <c r="A12360" s="22"/>
    </row>
    <row r="12361" spans="1:1">
      <c r="A12361" s="22"/>
    </row>
    <row r="12362" spans="1:1">
      <c r="A12362" s="22"/>
    </row>
    <row r="12363" spans="1:1">
      <c r="A12363" s="22"/>
    </row>
    <row r="12364" spans="1:1">
      <c r="A12364" s="22"/>
    </row>
    <row r="12365" spans="1:1">
      <c r="A12365" s="22"/>
    </row>
    <row r="12366" spans="1:1">
      <c r="A12366" s="22"/>
    </row>
    <row r="12367" spans="1:1">
      <c r="A12367" s="22"/>
    </row>
    <row r="12368" spans="1:1">
      <c r="A12368" s="22"/>
    </row>
    <row r="12369" spans="1:1">
      <c r="A12369" s="22"/>
    </row>
    <row r="12370" spans="1:1">
      <c r="A12370" s="22"/>
    </row>
    <row r="12371" spans="1:1">
      <c r="A12371" s="22"/>
    </row>
    <row r="12372" spans="1:1">
      <c r="A12372" s="22"/>
    </row>
    <row r="12373" spans="1:1">
      <c r="A12373" s="22"/>
    </row>
    <row r="12374" spans="1:1">
      <c r="A12374" s="22"/>
    </row>
    <row r="12375" spans="1:1">
      <c r="A12375" s="22"/>
    </row>
    <row r="12376" spans="1:1">
      <c r="A12376" s="22"/>
    </row>
    <row r="12377" spans="1:1">
      <c r="A12377" s="22"/>
    </row>
    <row r="12378" spans="1:1">
      <c r="A12378" s="22"/>
    </row>
    <row r="12379" spans="1:1">
      <c r="A12379" s="22"/>
    </row>
    <row r="12380" spans="1:1">
      <c r="A12380" s="22"/>
    </row>
    <row r="12381" spans="1:1">
      <c r="A12381" s="22"/>
    </row>
    <row r="12382" spans="1:1">
      <c r="A12382" s="22"/>
    </row>
    <row r="12383" spans="1:1">
      <c r="A12383" s="22"/>
    </row>
    <row r="12384" spans="1:1">
      <c r="A12384" s="22"/>
    </row>
    <row r="12385" spans="1:1">
      <c r="A12385" s="22"/>
    </row>
    <row r="12386" spans="1:1">
      <c r="A12386" s="22"/>
    </row>
    <row r="12387" spans="1:1">
      <c r="A12387" s="22"/>
    </row>
    <row r="12388" spans="1:1">
      <c r="A12388" s="22"/>
    </row>
    <row r="12389" spans="1:1">
      <c r="A12389" s="22"/>
    </row>
    <row r="12390" spans="1:1">
      <c r="A12390" s="22"/>
    </row>
    <row r="12391" spans="1:1">
      <c r="A12391" s="22"/>
    </row>
    <row r="12392" spans="1:1">
      <c r="A12392" s="22"/>
    </row>
    <row r="12393" spans="1:1">
      <c r="A12393" s="22"/>
    </row>
    <row r="12394" spans="1:1">
      <c r="A12394" s="22"/>
    </row>
    <row r="12395" spans="1:1">
      <c r="A12395" s="22"/>
    </row>
    <row r="12396" spans="1:1">
      <c r="A12396" s="22"/>
    </row>
    <row r="12397" spans="1:1">
      <c r="A12397" s="22"/>
    </row>
    <row r="12398" spans="1:1">
      <c r="A12398" s="22"/>
    </row>
    <row r="12399" spans="1:1">
      <c r="A12399" s="22"/>
    </row>
    <row r="12400" spans="1:1">
      <c r="A12400" s="22"/>
    </row>
    <row r="12401" spans="1:1">
      <c r="A12401" s="22"/>
    </row>
    <row r="12402" spans="1:1">
      <c r="A12402" s="22"/>
    </row>
    <row r="12403" spans="1:1">
      <c r="A12403" s="22"/>
    </row>
    <row r="12404" spans="1:1">
      <c r="A12404" s="22"/>
    </row>
    <row r="12405" spans="1:1">
      <c r="A12405" s="22"/>
    </row>
    <row r="12406" spans="1:1">
      <c r="A12406" s="22"/>
    </row>
    <row r="12407" spans="1:1">
      <c r="A12407" s="22"/>
    </row>
    <row r="12408" spans="1:1">
      <c r="A12408" s="22"/>
    </row>
    <row r="12409" spans="1:1">
      <c r="A12409" s="22"/>
    </row>
    <row r="12410" spans="1:1">
      <c r="A12410" s="22"/>
    </row>
    <row r="12411" spans="1:1">
      <c r="A12411" s="22"/>
    </row>
    <row r="12412" spans="1:1">
      <c r="A12412" s="22"/>
    </row>
    <row r="12413" spans="1:1">
      <c r="A12413" s="22"/>
    </row>
    <row r="12414" spans="1:1">
      <c r="A12414" s="22"/>
    </row>
    <row r="12415" spans="1:1">
      <c r="A12415" s="22"/>
    </row>
    <row r="12416" spans="1:1">
      <c r="A12416" s="22"/>
    </row>
    <row r="12417" spans="1:1">
      <c r="A12417" s="22"/>
    </row>
    <row r="12418" spans="1:1">
      <c r="A12418" s="22"/>
    </row>
    <row r="12419" spans="1:1">
      <c r="A12419" s="22"/>
    </row>
    <row r="12420" spans="1:1">
      <c r="A12420" s="22"/>
    </row>
    <row r="12421" spans="1:1">
      <c r="A12421" s="22"/>
    </row>
    <row r="12422" spans="1:1">
      <c r="A12422" s="22"/>
    </row>
    <row r="12423" spans="1:1">
      <c r="A12423" s="22"/>
    </row>
    <row r="12424" spans="1:1">
      <c r="A12424" s="22"/>
    </row>
    <row r="12425" spans="1:1">
      <c r="A12425" s="22"/>
    </row>
    <row r="12426" spans="1:1">
      <c r="A12426" s="22"/>
    </row>
    <row r="12427" spans="1:1">
      <c r="A12427" s="22"/>
    </row>
    <row r="12428" spans="1:1">
      <c r="A12428" s="22"/>
    </row>
    <row r="12429" spans="1:1">
      <c r="A12429" s="22"/>
    </row>
    <row r="12430" spans="1:1">
      <c r="A12430" s="22"/>
    </row>
    <row r="12431" spans="1:1">
      <c r="A12431" s="22"/>
    </row>
    <row r="12432" spans="1:1">
      <c r="A12432" s="22"/>
    </row>
    <row r="12433" spans="1:1">
      <c r="A12433" s="22"/>
    </row>
    <row r="12434" spans="1:1">
      <c r="A12434" s="22"/>
    </row>
    <row r="12435" spans="1:1">
      <c r="A12435" s="22"/>
    </row>
    <row r="12436" spans="1:1">
      <c r="A12436" s="22"/>
    </row>
    <row r="12437" spans="1:1">
      <c r="A12437" s="22"/>
    </row>
    <row r="12438" spans="1:1">
      <c r="A12438" s="22"/>
    </row>
    <row r="12439" spans="1:1">
      <c r="A12439" s="22"/>
    </row>
    <row r="12440" spans="1:1">
      <c r="A12440" s="22"/>
    </row>
    <row r="12441" spans="1:1">
      <c r="A12441" s="22"/>
    </row>
    <row r="12442" spans="1:1">
      <c r="A12442" s="22"/>
    </row>
    <row r="12443" spans="1:1">
      <c r="A12443" s="22"/>
    </row>
    <row r="12444" spans="1:1">
      <c r="A12444" s="22"/>
    </row>
    <row r="12445" spans="1:1">
      <c r="A12445" s="22"/>
    </row>
    <row r="12446" spans="1:1">
      <c r="A12446" s="22"/>
    </row>
    <row r="12447" spans="1:1">
      <c r="A12447" s="22"/>
    </row>
    <row r="12448" spans="1:1">
      <c r="A12448" s="22"/>
    </row>
    <row r="12449" spans="1:1">
      <c r="A12449" s="22"/>
    </row>
    <row r="12450" spans="1:1">
      <c r="A12450" s="22"/>
    </row>
    <row r="12451" spans="1:1">
      <c r="A12451" s="22"/>
    </row>
    <row r="12452" spans="1:1">
      <c r="A12452" s="22"/>
    </row>
    <row r="12453" spans="1:1">
      <c r="A12453" s="22"/>
    </row>
    <row r="12454" spans="1:1">
      <c r="A12454" s="22"/>
    </row>
    <row r="12455" spans="1:1">
      <c r="A12455" s="22"/>
    </row>
    <row r="12456" spans="1:1">
      <c r="A12456" s="22"/>
    </row>
    <row r="12457" spans="1:1">
      <c r="A12457" s="22"/>
    </row>
    <row r="12458" spans="1:1">
      <c r="A12458" s="22"/>
    </row>
    <row r="12459" spans="1:1">
      <c r="A12459" s="22"/>
    </row>
    <row r="12460" spans="1:1">
      <c r="A12460" s="22"/>
    </row>
    <row r="12461" spans="1:1">
      <c r="A12461" s="22"/>
    </row>
    <row r="12462" spans="1:1">
      <c r="A12462" s="22"/>
    </row>
    <row r="12463" spans="1:1">
      <c r="A12463" s="22"/>
    </row>
    <row r="12464" spans="1:1">
      <c r="A12464" s="22"/>
    </row>
    <row r="12465" spans="1:1">
      <c r="A12465" s="22"/>
    </row>
    <row r="12466" spans="1:1">
      <c r="A12466" s="22"/>
    </row>
    <row r="12467" spans="1:1">
      <c r="A12467" s="22"/>
    </row>
    <row r="12468" spans="1:1">
      <c r="A12468" s="22"/>
    </row>
    <row r="12469" spans="1:1">
      <c r="A12469" s="22"/>
    </row>
    <row r="12470" spans="1:1">
      <c r="A12470" s="22"/>
    </row>
    <row r="12471" spans="1:1">
      <c r="A12471" s="22"/>
    </row>
    <row r="12472" spans="1:1">
      <c r="A12472" s="22"/>
    </row>
    <row r="12473" spans="1:1">
      <c r="A12473" s="22"/>
    </row>
    <row r="12474" spans="1:1">
      <c r="A12474" s="22"/>
    </row>
    <row r="12475" spans="1:1">
      <c r="A12475" s="22"/>
    </row>
    <row r="12476" spans="1:1">
      <c r="A12476" s="22"/>
    </row>
    <row r="12477" spans="1:1">
      <c r="A12477" s="22"/>
    </row>
    <row r="12478" spans="1:1">
      <c r="A12478" s="22"/>
    </row>
    <row r="12479" spans="1:1">
      <c r="A12479" s="22"/>
    </row>
    <row r="12480" spans="1:1">
      <c r="A12480" s="22"/>
    </row>
    <row r="12481" spans="1:1">
      <c r="A12481" s="22"/>
    </row>
    <row r="12482" spans="1:1">
      <c r="A12482" s="22"/>
    </row>
    <row r="12483" spans="1:1">
      <c r="A12483" s="22"/>
    </row>
    <row r="12484" spans="1:1">
      <c r="A12484" s="22"/>
    </row>
    <row r="12485" spans="1:1">
      <c r="A12485" s="22"/>
    </row>
    <row r="12486" spans="1:1">
      <c r="A12486" s="22"/>
    </row>
    <row r="12487" spans="1:1">
      <c r="A12487" s="22"/>
    </row>
    <row r="12488" spans="1:1">
      <c r="A12488" s="22"/>
    </row>
    <row r="12489" spans="1:1">
      <c r="A12489" s="22"/>
    </row>
    <row r="12490" spans="1:1">
      <c r="A12490" s="22"/>
    </row>
    <row r="12491" spans="1:1">
      <c r="A12491" s="22"/>
    </row>
    <row r="12492" spans="1:1">
      <c r="A12492" s="22"/>
    </row>
    <row r="12493" spans="1:1">
      <c r="A12493" s="22"/>
    </row>
    <row r="12494" spans="1:1">
      <c r="A12494" s="22"/>
    </row>
    <row r="12495" spans="1:1">
      <c r="A12495" s="22"/>
    </row>
    <row r="12496" spans="1:1">
      <c r="A12496" s="22"/>
    </row>
    <row r="12497" spans="1:1">
      <c r="A12497" s="22"/>
    </row>
    <row r="12498" spans="1:1">
      <c r="A12498" s="22"/>
    </row>
    <row r="12499" spans="1:1">
      <c r="A12499" s="22"/>
    </row>
    <row r="12500" spans="1:1">
      <c r="A12500" s="22"/>
    </row>
    <row r="12501" spans="1:1">
      <c r="A12501" s="22"/>
    </row>
    <row r="12502" spans="1:1">
      <c r="A12502" s="22"/>
    </row>
    <row r="12503" spans="1:1">
      <c r="A12503" s="22"/>
    </row>
    <row r="12504" spans="1:1">
      <c r="A12504" s="22"/>
    </row>
    <row r="12505" spans="1:1">
      <c r="A12505" s="22"/>
    </row>
    <row r="12506" spans="1:1">
      <c r="A12506" s="22"/>
    </row>
    <row r="12507" spans="1:1">
      <c r="A12507" s="22"/>
    </row>
    <row r="12508" spans="1:1">
      <c r="A12508" s="22"/>
    </row>
    <row r="12509" spans="1:1">
      <c r="A12509" s="22"/>
    </row>
    <row r="12510" spans="1:1">
      <c r="A12510" s="22"/>
    </row>
    <row r="12511" spans="1:1">
      <c r="A12511" s="22"/>
    </row>
    <row r="12512" spans="1:1">
      <c r="A12512" s="22"/>
    </row>
    <row r="12513" spans="1:1">
      <c r="A12513" s="22"/>
    </row>
    <row r="12514" spans="1:1">
      <c r="A12514" s="22"/>
    </row>
    <row r="12515" spans="1:1">
      <c r="A12515" s="22"/>
    </row>
    <row r="12516" spans="1:1">
      <c r="A12516" s="22"/>
    </row>
    <row r="12517" spans="1:1">
      <c r="A12517" s="22"/>
    </row>
    <row r="12518" spans="1:1">
      <c r="A12518" s="22"/>
    </row>
    <row r="12519" spans="1:1">
      <c r="A12519" s="22"/>
    </row>
    <row r="12520" spans="1:1">
      <c r="A12520" s="22"/>
    </row>
    <row r="12521" spans="1:1">
      <c r="A12521" s="22"/>
    </row>
    <row r="12522" spans="1:1">
      <c r="A12522" s="22"/>
    </row>
    <row r="12523" spans="1:1">
      <c r="A12523" s="22"/>
    </row>
    <row r="12524" spans="1:1">
      <c r="A12524" s="22"/>
    </row>
    <row r="12525" spans="1:1">
      <c r="A12525" s="22"/>
    </row>
    <row r="12526" spans="1:1">
      <c r="A12526" s="22"/>
    </row>
    <row r="12527" spans="1:1">
      <c r="A12527" s="22"/>
    </row>
    <row r="12528" spans="1:1">
      <c r="A12528" s="22"/>
    </row>
    <row r="12529" spans="1:1">
      <c r="A12529" s="22"/>
    </row>
    <row r="12530" spans="1:1">
      <c r="A12530" s="22"/>
    </row>
    <row r="12531" spans="1:1">
      <c r="A12531" s="22"/>
    </row>
    <row r="12532" spans="1:1">
      <c r="A12532" s="22"/>
    </row>
    <row r="12533" spans="1:1">
      <c r="A12533" s="22"/>
    </row>
    <row r="12534" spans="1:1">
      <c r="A12534" s="22"/>
    </row>
    <row r="12535" spans="1:1">
      <c r="A12535" s="22"/>
    </row>
    <row r="12536" spans="1:1">
      <c r="A12536" s="22"/>
    </row>
    <row r="12537" spans="1:1">
      <c r="A12537" s="22"/>
    </row>
    <row r="12538" spans="1:1">
      <c r="A12538" s="22"/>
    </row>
    <row r="12539" spans="1:1">
      <c r="A12539" s="22"/>
    </row>
    <row r="12540" spans="1:1">
      <c r="A12540" s="22"/>
    </row>
    <row r="12541" spans="1:1">
      <c r="A12541" s="22"/>
    </row>
    <row r="12542" spans="1:1">
      <c r="A12542" s="22"/>
    </row>
    <row r="12543" spans="1:1">
      <c r="A12543" s="22"/>
    </row>
    <row r="12544" spans="1:1">
      <c r="A12544" s="22"/>
    </row>
    <row r="12545" spans="1:1">
      <c r="A12545" s="22"/>
    </row>
    <row r="12546" spans="1:1">
      <c r="A12546" s="22"/>
    </row>
    <row r="12547" spans="1:1">
      <c r="A12547" s="22"/>
    </row>
    <row r="12548" spans="1:1">
      <c r="A12548" s="22"/>
    </row>
    <row r="12549" spans="1:1">
      <c r="A12549" s="22"/>
    </row>
    <row r="12550" spans="1:1">
      <c r="A12550" s="22"/>
    </row>
    <row r="12551" spans="1:1">
      <c r="A12551" s="22"/>
    </row>
    <row r="12552" spans="1:1">
      <c r="A12552" s="22"/>
    </row>
    <row r="12553" spans="1:1">
      <c r="A12553" s="22"/>
    </row>
    <row r="12554" spans="1:1">
      <c r="A12554" s="22"/>
    </row>
    <row r="12555" spans="1:1">
      <c r="A12555" s="22"/>
    </row>
    <row r="12556" spans="1:1">
      <c r="A12556" s="22"/>
    </row>
    <row r="12557" spans="1:1">
      <c r="A12557" s="22"/>
    </row>
    <row r="12558" spans="1:1">
      <c r="A12558" s="22"/>
    </row>
    <row r="12559" spans="1:1">
      <c r="A12559" s="22"/>
    </row>
    <row r="12560" spans="1:1">
      <c r="A12560" s="22"/>
    </row>
    <row r="12561" spans="1:1">
      <c r="A12561" s="22"/>
    </row>
    <row r="12562" spans="1:1">
      <c r="A12562" s="22"/>
    </row>
    <row r="12563" spans="1:1">
      <c r="A12563" s="22"/>
    </row>
    <row r="12564" spans="1:1">
      <c r="A12564" s="22"/>
    </row>
    <row r="12565" spans="1:1">
      <c r="A12565" s="22"/>
    </row>
    <row r="12566" spans="1:1">
      <c r="A12566" s="22"/>
    </row>
    <row r="12567" spans="1:1">
      <c r="A12567" s="22"/>
    </row>
    <row r="12568" spans="1:1">
      <c r="A12568" s="22"/>
    </row>
    <row r="12569" spans="1:1">
      <c r="A12569" s="22"/>
    </row>
    <row r="12570" spans="1:1">
      <c r="A12570" s="22"/>
    </row>
    <row r="12571" spans="1:1">
      <c r="A12571" s="22"/>
    </row>
    <row r="12572" spans="1:1">
      <c r="A12572" s="22"/>
    </row>
    <row r="12573" spans="1:1">
      <c r="A12573" s="22"/>
    </row>
    <row r="12574" spans="1:1">
      <c r="A12574" s="22"/>
    </row>
    <row r="12575" spans="1:1">
      <c r="A12575" s="22"/>
    </row>
    <row r="12576" spans="1:1">
      <c r="A12576" s="22"/>
    </row>
    <row r="12577" spans="1:1">
      <c r="A12577" s="22"/>
    </row>
    <row r="12578" spans="1:1">
      <c r="A12578" s="22"/>
    </row>
    <row r="12579" spans="1:1">
      <c r="A12579" s="22"/>
    </row>
    <row r="12580" spans="1:1">
      <c r="A12580" s="22"/>
    </row>
    <row r="12581" spans="1:1">
      <c r="A12581" s="22"/>
    </row>
    <row r="12582" spans="1:1">
      <c r="A12582" s="22"/>
    </row>
    <row r="12583" spans="1:1">
      <c r="A12583" s="22"/>
    </row>
    <row r="12584" spans="1:1">
      <c r="A12584" s="22"/>
    </row>
    <row r="12585" spans="1:1">
      <c r="A12585" s="22"/>
    </row>
    <row r="12586" spans="1:1">
      <c r="A12586" s="22"/>
    </row>
    <row r="12587" spans="1:1">
      <c r="A12587" s="22"/>
    </row>
    <row r="12588" spans="1:1">
      <c r="A12588" s="22"/>
    </row>
    <row r="12589" spans="1:1">
      <c r="A12589" s="22"/>
    </row>
    <row r="12590" spans="1:1">
      <c r="A12590" s="22"/>
    </row>
    <row r="12591" spans="1:1">
      <c r="A12591" s="22"/>
    </row>
    <row r="12592" spans="1:1">
      <c r="A12592" s="22"/>
    </row>
    <row r="12593" spans="1:1">
      <c r="A12593" s="22"/>
    </row>
    <row r="12594" spans="1:1">
      <c r="A12594" s="22"/>
    </row>
    <row r="12595" spans="1:1">
      <c r="A12595" s="22"/>
    </row>
    <row r="12596" spans="1:1">
      <c r="A12596" s="22"/>
    </row>
    <row r="12597" spans="1:1">
      <c r="A12597" s="22"/>
    </row>
    <row r="12598" spans="1:1">
      <c r="A12598" s="22"/>
    </row>
    <row r="12599" spans="1:1">
      <c r="A12599" s="22"/>
    </row>
    <row r="12600" spans="1:1">
      <c r="A12600" s="22"/>
    </row>
    <row r="12601" spans="1:1">
      <c r="A12601" s="22"/>
    </row>
    <row r="12602" spans="1:1">
      <c r="A12602" s="22"/>
    </row>
    <row r="12603" spans="1:1">
      <c r="A12603" s="22"/>
    </row>
    <row r="12604" spans="1:1">
      <c r="A12604" s="22"/>
    </row>
    <row r="12605" spans="1:1">
      <c r="A12605" s="22"/>
    </row>
    <row r="12606" spans="1:1">
      <c r="A12606" s="22"/>
    </row>
    <row r="12607" spans="1:1">
      <c r="A12607" s="22"/>
    </row>
    <row r="12608" spans="1:1">
      <c r="A12608" s="22"/>
    </row>
    <row r="12609" spans="1:1">
      <c r="A12609" s="22"/>
    </row>
    <row r="12610" spans="1:1">
      <c r="A12610" s="22"/>
    </row>
    <row r="12611" spans="1:1">
      <c r="A12611" s="22"/>
    </row>
    <row r="12612" spans="1:1">
      <c r="A12612" s="22"/>
    </row>
    <row r="12613" spans="1:1">
      <c r="A12613" s="22"/>
    </row>
    <row r="12614" spans="1:1">
      <c r="A12614" s="22"/>
    </row>
    <row r="12615" spans="1:1">
      <c r="A12615" s="22"/>
    </row>
    <row r="12616" spans="1:1">
      <c r="A12616" s="22"/>
    </row>
    <row r="12617" spans="1:1">
      <c r="A12617" s="22"/>
    </row>
    <row r="12618" spans="1:1">
      <c r="A12618" s="22"/>
    </row>
    <row r="12619" spans="1:1">
      <c r="A12619" s="22"/>
    </row>
    <row r="12620" spans="1:1">
      <c r="A12620" s="22"/>
    </row>
    <row r="12621" spans="1:1">
      <c r="A12621" s="22"/>
    </row>
    <row r="12622" spans="1:1">
      <c r="A12622" s="22"/>
    </row>
    <row r="12623" spans="1:1">
      <c r="A12623" s="22"/>
    </row>
    <row r="12624" spans="1:1">
      <c r="A12624" s="22"/>
    </row>
    <row r="12625" spans="1:1">
      <c r="A12625" s="22"/>
    </row>
    <row r="12626" spans="1:1">
      <c r="A12626" s="22"/>
    </row>
    <row r="12627" spans="1:1">
      <c r="A12627" s="22"/>
    </row>
    <row r="12628" spans="1:1">
      <c r="A12628" s="22"/>
    </row>
    <row r="12629" spans="1:1">
      <c r="A12629" s="22"/>
    </row>
    <row r="12630" spans="1:1">
      <c r="A12630" s="22"/>
    </row>
    <row r="12631" spans="1:1">
      <c r="A12631" s="22"/>
    </row>
    <row r="12632" spans="1:1">
      <c r="A12632" s="22"/>
    </row>
    <row r="12633" spans="1:1">
      <c r="A12633" s="22"/>
    </row>
    <row r="12634" spans="1:1">
      <c r="A12634" s="22"/>
    </row>
    <row r="12635" spans="1:1">
      <c r="A12635" s="22"/>
    </row>
    <row r="12636" spans="1:1">
      <c r="A12636" s="22"/>
    </row>
    <row r="12637" spans="1:1">
      <c r="A12637" s="22"/>
    </row>
    <row r="12638" spans="1:1">
      <c r="A12638" s="22"/>
    </row>
    <row r="12639" spans="1:1">
      <c r="A12639" s="22"/>
    </row>
    <row r="12640" spans="1:1">
      <c r="A12640" s="22"/>
    </row>
    <row r="12641" spans="1:1">
      <c r="A12641" s="22"/>
    </row>
    <row r="12642" spans="1:1">
      <c r="A12642" s="22"/>
    </row>
    <row r="12643" spans="1:1">
      <c r="A12643" s="22"/>
    </row>
    <row r="12644" spans="1:1">
      <c r="A12644" s="22"/>
    </row>
    <row r="12645" spans="1:1">
      <c r="A12645" s="22"/>
    </row>
    <row r="12646" spans="1:1">
      <c r="A12646" s="22"/>
    </row>
    <row r="12647" spans="1:1">
      <c r="A12647" s="22"/>
    </row>
    <row r="12648" spans="1:1">
      <c r="A12648" s="22"/>
    </row>
    <row r="12649" spans="1:1">
      <c r="A12649" s="22"/>
    </row>
    <row r="12650" spans="1:1">
      <c r="A12650" s="22"/>
    </row>
    <row r="12651" spans="1:1">
      <c r="A12651" s="22"/>
    </row>
    <row r="12652" spans="1:1">
      <c r="A12652" s="22"/>
    </row>
    <row r="12653" spans="1:1">
      <c r="A12653" s="22"/>
    </row>
    <row r="12654" spans="1:1">
      <c r="A12654" s="22"/>
    </row>
    <row r="12655" spans="1:1">
      <c r="A12655" s="22"/>
    </row>
    <row r="12656" spans="1:1">
      <c r="A12656" s="22"/>
    </row>
    <row r="12657" spans="1:1">
      <c r="A12657" s="22"/>
    </row>
    <row r="12658" spans="1:1">
      <c r="A12658" s="22"/>
    </row>
    <row r="12659" spans="1:1">
      <c r="A12659" s="22"/>
    </row>
    <row r="12660" spans="1:1">
      <c r="A12660" s="22"/>
    </row>
    <row r="12661" spans="1:1">
      <c r="A12661" s="22"/>
    </row>
    <row r="12662" spans="1:1">
      <c r="A12662" s="22"/>
    </row>
    <row r="12663" spans="1:1">
      <c r="A12663" s="22"/>
    </row>
    <row r="12664" spans="1:1">
      <c r="A12664" s="22"/>
    </row>
    <row r="12665" spans="1:1">
      <c r="A12665" s="22"/>
    </row>
    <row r="12666" spans="1:1">
      <c r="A12666" s="22"/>
    </row>
    <row r="12667" spans="1:1">
      <c r="A12667" s="22"/>
    </row>
    <row r="12668" spans="1:1">
      <c r="A12668" s="22"/>
    </row>
    <row r="12669" spans="1:1">
      <c r="A12669" s="22"/>
    </row>
    <row r="12670" spans="1:1">
      <c r="A12670" s="22"/>
    </row>
    <row r="12671" spans="1:1">
      <c r="A12671" s="22"/>
    </row>
    <row r="12672" spans="1:1">
      <c r="A12672" s="22"/>
    </row>
    <row r="12673" spans="1:1">
      <c r="A12673" s="22"/>
    </row>
    <row r="12674" spans="1:1">
      <c r="A12674" s="22"/>
    </row>
    <row r="12675" spans="1:1">
      <c r="A12675" s="22"/>
    </row>
    <row r="12676" spans="1:1">
      <c r="A12676" s="22"/>
    </row>
    <row r="12677" spans="1:1">
      <c r="A12677" s="22"/>
    </row>
    <row r="12678" spans="1:1">
      <c r="A12678" s="22"/>
    </row>
    <row r="12679" spans="1:1">
      <c r="A12679" s="22"/>
    </row>
    <row r="12680" spans="1:1">
      <c r="A12680" s="22"/>
    </row>
    <row r="12681" spans="1:1">
      <c r="A12681" s="22"/>
    </row>
    <row r="12682" spans="1:1">
      <c r="A12682" s="22"/>
    </row>
    <row r="12683" spans="1:1">
      <c r="A12683" s="22"/>
    </row>
    <row r="12684" spans="1:1">
      <c r="A12684" s="22"/>
    </row>
    <row r="12685" spans="1:1">
      <c r="A12685" s="22"/>
    </row>
    <row r="12686" spans="1:1">
      <c r="A12686" s="22"/>
    </row>
    <row r="12687" spans="1:1">
      <c r="A12687" s="22"/>
    </row>
    <row r="12688" spans="1:1">
      <c r="A12688" s="22"/>
    </row>
    <row r="12689" spans="1:1">
      <c r="A12689" s="22"/>
    </row>
    <row r="12690" spans="1:1">
      <c r="A12690" s="22"/>
    </row>
    <row r="12691" spans="1:1">
      <c r="A12691" s="22"/>
    </row>
    <row r="12692" spans="1:1">
      <c r="A12692" s="22"/>
    </row>
    <row r="12693" spans="1:1">
      <c r="A12693" s="22"/>
    </row>
    <row r="12694" spans="1:1">
      <c r="A12694" s="22"/>
    </row>
    <row r="12695" spans="1:1">
      <c r="A12695" s="22"/>
    </row>
    <row r="12696" spans="1:1">
      <c r="A12696" s="22"/>
    </row>
    <row r="12697" spans="1:1">
      <c r="A12697" s="22"/>
    </row>
    <row r="12698" spans="1:1">
      <c r="A12698" s="22"/>
    </row>
    <row r="12699" spans="1:1">
      <c r="A12699" s="22"/>
    </row>
    <row r="12700" spans="1:1">
      <c r="A12700" s="22"/>
    </row>
    <row r="12701" spans="1:1">
      <c r="A12701" s="22"/>
    </row>
    <row r="12702" spans="1:1">
      <c r="A12702" s="22"/>
    </row>
    <row r="12703" spans="1:1">
      <c r="A12703" s="22"/>
    </row>
    <row r="12704" spans="1:1">
      <c r="A12704" s="22"/>
    </row>
    <row r="12705" spans="1:1">
      <c r="A12705" s="22"/>
    </row>
    <row r="12706" spans="1:1">
      <c r="A12706" s="22"/>
    </row>
    <row r="12707" spans="1:1">
      <c r="A12707" s="22"/>
    </row>
    <row r="12708" spans="1:1">
      <c r="A12708" s="22"/>
    </row>
    <row r="12709" spans="1:1">
      <c r="A12709" s="22"/>
    </row>
    <row r="12710" spans="1:1">
      <c r="A12710" s="22"/>
    </row>
    <row r="12711" spans="1:1">
      <c r="A12711" s="22"/>
    </row>
    <row r="12712" spans="1:1">
      <c r="A12712" s="22"/>
    </row>
    <row r="12713" spans="1:1">
      <c r="A12713" s="22"/>
    </row>
    <row r="12714" spans="1:1">
      <c r="A12714" s="22"/>
    </row>
    <row r="12715" spans="1:1">
      <c r="A12715" s="22"/>
    </row>
    <row r="12716" spans="1:1">
      <c r="A12716" s="22"/>
    </row>
    <row r="12717" spans="1:1">
      <c r="A12717" s="22"/>
    </row>
    <row r="12718" spans="1:1">
      <c r="A12718" s="22"/>
    </row>
    <row r="12719" spans="1:1">
      <c r="A12719" s="22"/>
    </row>
    <row r="12720" spans="1:1">
      <c r="A12720" s="22"/>
    </row>
    <row r="12721" spans="1:1">
      <c r="A12721" s="22"/>
    </row>
    <row r="12722" spans="1:1">
      <c r="A12722" s="22"/>
    </row>
    <row r="12723" spans="1:1">
      <c r="A12723" s="22"/>
    </row>
    <row r="12724" spans="1:1">
      <c r="A12724" s="22"/>
    </row>
    <row r="12725" spans="1:1">
      <c r="A12725" s="22"/>
    </row>
    <row r="12726" spans="1:1">
      <c r="A12726" s="22"/>
    </row>
    <row r="12727" spans="1:1">
      <c r="A12727" s="22"/>
    </row>
    <row r="12728" spans="1:1">
      <c r="A12728" s="22"/>
    </row>
    <row r="12729" spans="1:1">
      <c r="A12729" s="22"/>
    </row>
    <row r="12730" spans="1:1">
      <c r="A12730" s="22"/>
    </row>
    <row r="12731" spans="1:1">
      <c r="A12731" s="22"/>
    </row>
    <row r="12732" spans="1:1">
      <c r="A12732" s="22"/>
    </row>
    <row r="12733" spans="1:1">
      <c r="A12733" s="22"/>
    </row>
    <row r="12734" spans="1:1">
      <c r="A12734" s="22"/>
    </row>
    <row r="12735" spans="1:1">
      <c r="A12735" s="22"/>
    </row>
    <row r="12736" spans="1:1">
      <c r="A12736" s="22"/>
    </row>
    <row r="12737" spans="1:1">
      <c r="A12737" s="22"/>
    </row>
    <row r="12738" spans="1:1">
      <c r="A12738" s="22"/>
    </row>
    <row r="12739" spans="1:1">
      <c r="A12739" s="22"/>
    </row>
    <row r="12740" spans="1:1">
      <c r="A12740" s="22"/>
    </row>
    <row r="12741" spans="1:1">
      <c r="A12741" s="22"/>
    </row>
    <row r="12742" spans="1:1">
      <c r="A12742" s="22"/>
    </row>
    <row r="12743" spans="1:1">
      <c r="A12743" s="22"/>
    </row>
    <row r="12744" spans="1:1">
      <c r="A12744" s="22"/>
    </row>
    <row r="12745" spans="1:1">
      <c r="A12745" s="22"/>
    </row>
    <row r="12746" spans="1:1">
      <c r="A12746" s="22"/>
    </row>
    <row r="12747" spans="1:1">
      <c r="A12747" s="22"/>
    </row>
    <row r="12748" spans="1:1">
      <c r="A12748" s="22"/>
    </row>
    <row r="12749" spans="1:1">
      <c r="A12749" s="22"/>
    </row>
    <row r="12750" spans="1:1">
      <c r="A12750" s="22"/>
    </row>
    <row r="12751" spans="1:1">
      <c r="A12751" s="22"/>
    </row>
    <row r="12752" spans="1:1">
      <c r="A12752" s="22"/>
    </row>
    <row r="12753" spans="1:1">
      <c r="A12753" s="22"/>
    </row>
    <row r="12754" spans="1:1">
      <c r="A12754" s="22"/>
    </row>
    <row r="12755" spans="1:1">
      <c r="A12755" s="22"/>
    </row>
    <row r="12756" spans="1:1">
      <c r="A12756" s="22"/>
    </row>
    <row r="12757" spans="1:1">
      <c r="A12757" s="22"/>
    </row>
    <row r="12758" spans="1:1">
      <c r="A12758" s="22"/>
    </row>
    <row r="12759" spans="1:1">
      <c r="A12759" s="22"/>
    </row>
    <row r="12760" spans="1:1">
      <c r="A12760" s="22"/>
    </row>
    <row r="12761" spans="1:1">
      <c r="A12761" s="22"/>
    </row>
    <row r="12762" spans="1:1">
      <c r="A12762" s="22"/>
    </row>
    <row r="12763" spans="1:1">
      <c r="A12763" s="22"/>
    </row>
    <row r="12764" spans="1:1">
      <c r="A12764" s="22"/>
    </row>
    <row r="12765" spans="1:1">
      <c r="A12765" s="22"/>
    </row>
    <row r="12766" spans="1:1">
      <c r="A12766" s="22"/>
    </row>
    <row r="12767" spans="1:1">
      <c r="A12767" s="22"/>
    </row>
    <row r="12768" spans="1:1">
      <c r="A12768" s="22"/>
    </row>
    <row r="12769" spans="1:1">
      <c r="A12769" s="22"/>
    </row>
    <row r="12770" spans="1:1">
      <c r="A12770" s="22"/>
    </row>
    <row r="12771" spans="1:1">
      <c r="A12771" s="22"/>
    </row>
    <row r="12772" spans="1:1">
      <c r="A12772" s="22"/>
    </row>
    <row r="12773" spans="1:1">
      <c r="A12773" s="22"/>
    </row>
    <row r="12774" spans="1:1">
      <c r="A12774" s="22"/>
    </row>
    <row r="12775" spans="1:1">
      <c r="A12775" s="22"/>
    </row>
    <row r="12776" spans="1:1">
      <c r="A12776" s="22"/>
    </row>
    <row r="12777" spans="1:1">
      <c r="A12777" s="22"/>
    </row>
    <row r="12778" spans="1:1">
      <c r="A12778" s="22"/>
    </row>
    <row r="12779" spans="1:1">
      <c r="A12779" s="22"/>
    </row>
    <row r="12780" spans="1:1">
      <c r="A12780" s="22"/>
    </row>
    <row r="12781" spans="1:1">
      <c r="A12781" s="22"/>
    </row>
    <row r="12782" spans="1:1">
      <c r="A12782" s="22"/>
    </row>
    <row r="12783" spans="1:1">
      <c r="A12783" s="22"/>
    </row>
    <row r="12784" spans="1:1">
      <c r="A12784" s="22"/>
    </row>
    <row r="12785" spans="1:1">
      <c r="A12785" s="22"/>
    </row>
    <row r="12786" spans="1:1">
      <c r="A12786" s="22"/>
    </row>
    <row r="12787" spans="1:1">
      <c r="A12787" s="22"/>
    </row>
    <row r="12788" spans="1:1">
      <c r="A12788" s="22"/>
    </row>
    <row r="12789" spans="1:1">
      <c r="A12789" s="22"/>
    </row>
    <row r="12790" spans="1:1">
      <c r="A12790" s="22"/>
    </row>
    <row r="12791" spans="1:1">
      <c r="A12791" s="22"/>
    </row>
    <row r="12792" spans="1:1">
      <c r="A12792" s="22"/>
    </row>
    <row r="12793" spans="1:1">
      <c r="A12793" s="22"/>
    </row>
    <row r="12794" spans="1:1">
      <c r="A12794" s="22"/>
    </row>
    <row r="12795" spans="1:1">
      <c r="A12795" s="22"/>
    </row>
    <row r="12796" spans="1:1">
      <c r="A12796" s="22"/>
    </row>
    <row r="12797" spans="1:1">
      <c r="A12797" s="22"/>
    </row>
    <row r="12798" spans="1:1">
      <c r="A12798" s="22"/>
    </row>
    <row r="12799" spans="1:1">
      <c r="A12799" s="22"/>
    </row>
    <row r="12800" spans="1:1">
      <c r="A12800" s="22"/>
    </row>
    <row r="12801" spans="1:1">
      <c r="A12801" s="22"/>
    </row>
    <row r="12802" spans="1:1">
      <c r="A12802" s="22"/>
    </row>
    <row r="12803" spans="1:1">
      <c r="A12803" s="22"/>
    </row>
    <row r="12804" spans="1:1">
      <c r="A12804" s="22"/>
    </row>
    <row r="12805" spans="1:1">
      <c r="A12805" s="22"/>
    </row>
    <row r="12806" spans="1:1">
      <c r="A12806" s="22"/>
    </row>
    <row r="12807" spans="1:1">
      <c r="A12807" s="22"/>
    </row>
    <row r="12808" spans="1:1">
      <c r="A12808" s="22"/>
    </row>
    <row r="12809" spans="1:1">
      <c r="A12809" s="22"/>
    </row>
    <row r="12810" spans="1:1">
      <c r="A12810" s="22"/>
    </row>
    <row r="12811" spans="1:1">
      <c r="A12811" s="22"/>
    </row>
    <row r="12812" spans="1:1">
      <c r="A12812" s="22"/>
    </row>
    <row r="12813" spans="1:1">
      <c r="A12813" s="22"/>
    </row>
    <row r="12814" spans="1:1">
      <c r="A12814" s="22"/>
    </row>
    <row r="12815" spans="1:1">
      <c r="A12815" s="22"/>
    </row>
    <row r="12816" spans="1:1">
      <c r="A12816" s="22"/>
    </row>
    <row r="12817" spans="1:1">
      <c r="A12817" s="22"/>
    </row>
    <row r="12818" spans="1:1">
      <c r="A12818" s="22"/>
    </row>
    <row r="12819" spans="1:1">
      <c r="A12819" s="22"/>
    </row>
    <row r="12820" spans="1:1">
      <c r="A12820" s="22"/>
    </row>
    <row r="12821" spans="1:1">
      <c r="A12821" s="22"/>
    </row>
    <row r="12822" spans="1:1">
      <c r="A12822" s="22"/>
    </row>
    <row r="12823" spans="1:1">
      <c r="A12823" s="22"/>
    </row>
    <row r="12824" spans="1:1">
      <c r="A12824" s="22"/>
    </row>
    <row r="12825" spans="1:1">
      <c r="A12825" s="22"/>
    </row>
    <row r="12826" spans="1:1">
      <c r="A12826" s="22"/>
    </row>
    <row r="12827" spans="1:1">
      <c r="A12827" s="22"/>
    </row>
    <row r="12828" spans="1:1">
      <c r="A12828" s="22"/>
    </row>
    <row r="12829" spans="1:1">
      <c r="A12829" s="22"/>
    </row>
    <row r="12830" spans="1:1">
      <c r="A12830" s="22"/>
    </row>
    <row r="12831" spans="1:1">
      <c r="A12831" s="22"/>
    </row>
    <row r="12832" spans="1:1">
      <c r="A12832" s="22"/>
    </row>
    <row r="12833" spans="1:1">
      <c r="A12833" s="22"/>
    </row>
    <row r="12834" spans="1:1">
      <c r="A12834" s="22"/>
    </row>
    <row r="12835" spans="1:1">
      <c r="A12835" s="22"/>
    </row>
    <row r="12836" spans="1:1">
      <c r="A12836" s="22"/>
    </row>
    <row r="12837" spans="1:1">
      <c r="A12837" s="22"/>
    </row>
    <row r="12838" spans="1:1">
      <c r="A12838" s="22"/>
    </row>
    <row r="12839" spans="1:1">
      <c r="A12839" s="22"/>
    </row>
    <row r="12840" spans="1:1">
      <c r="A12840" s="22"/>
    </row>
    <row r="12841" spans="1:1">
      <c r="A12841" s="22"/>
    </row>
    <row r="12842" spans="1:1">
      <c r="A12842" s="22"/>
    </row>
    <row r="12843" spans="1:1">
      <c r="A12843" s="22"/>
    </row>
    <row r="12844" spans="1:1">
      <c r="A12844" s="22"/>
    </row>
    <row r="12845" spans="1:1">
      <c r="A12845" s="22"/>
    </row>
    <row r="12846" spans="1:1">
      <c r="A12846" s="22"/>
    </row>
    <row r="12847" spans="1:1">
      <c r="A12847" s="22"/>
    </row>
    <row r="12848" spans="1:1">
      <c r="A12848" s="22"/>
    </row>
    <row r="12849" spans="1:1">
      <c r="A12849" s="22"/>
    </row>
    <row r="12850" spans="1:1">
      <c r="A12850" s="22"/>
    </row>
    <row r="12851" spans="1:1">
      <c r="A12851" s="22"/>
    </row>
    <row r="12852" spans="1:1">
      <c r="A12852" s="22"/>
    </row>
    <row r="12853" spans="1:1">
      <c r="A12853" s="22"/>
    </row>
    <row r="12854" spans="1:1">
      <c r="A12854" s="22"/>
    </row>
    <row r="12855" spans="1:1">
      <c r="A12855" s="22"/>
    </row>
    <row r="12856" spans="1:1">
      <c r="A12856" s="22"/>
    </row>
    <row r="12857" spans="1:1">
      <c r="A12857" s="22"/>
    </row>
    <row r="12858" spans="1:1">
      <c r="A12858" s="22"/>
    </row>
    <row r="12859" spans="1:1">
      <c r="A12859" s="22"/>
    </row>
    <row r="12860" spans="1:1">
      <c r="A12860" s="22"/>
    </row>
    <row r="12861" spans="1:1">
      <c r="A12861" s="22"/>
    </row>
    <row r="12862" spans="1:1">
      <c r="A12862" s="22"/>
    </row>
    <row r="12863" spans="1:1">
      <c r="A12863" s="22"/>
    </row>
    <row r="12864" spans="1:1">
      <c r="A12864" s="22"/>
    </row>
    <row r="12865" spans="1:1">
      <c r="A12865" s="22"/>
    </row>
    <row r="12866" spans="1:1">
      <c r="A12866" s="22"/>
    </row>
    <row r="12867" spans="1:1">
      <c r="A12867" s="22"/>
    </row>
    <row r="12868" spans="1:1">
      <c r="A12868" s="22"/>
    </row>
    <row r="12869" spans="1:1">
      <c r="A12869" s="22"/>
    </row>
    <row r="12870" spans="1:1">
      <c r="A12870" s="22"/>
    </row>
    <row r="12871" spans="1:1">
      <c r="A12871" s="22"/>
    </row>
    <row r="12872" spans="1:1">
      <c r="A12872" s="22"/>
    </row>
    <row r="12873" spans="1:1">
      <c r="A12873" s="22"/>
    </row>
    <row r="12874" spans="1:1">
      <c r="A12874" s="22"/>
    </row>
    <row r="12875" spans="1:1">
      <c r="A12875" s="22"/>
    </row>
    <row r="12876" spans="1:1">
      <c r="A12876" s="22"/>
    </row>
    <row r="12877" spans="1:1">
      <c r="A12877" s="22"/>
    </row>
    <row r="12878" spans="1:1">
      <c r="A12878" s="22"/>
    </row>
    <row r="12879" spans="1:1">
      <c r="A12879" s="22"/>
    </row>
    <row r="12880" spans="1:1">
      <c r="A12880" s="22"/>
    </row>
    <row r="12881" spans="1:1">
      <c r="A12881" s="22"/>
    </row>
    <row r="12882" spans="1:1">
      <c r="A12882" s="22"/>
    </row>
    <row r="12883" spans="1:1">
      <c r="A12883" s="22"/>
    </row>
    <row r="12884" spans="1:1">
      <c r="A12884" s="22"/>
    </row>
    <row r="12885" spans="1:1">
      <c r="A12885" s="22"/>
    </row>
    <row r="12886" spans="1:1">
      <c r="A12886" s="22"/>
    </row>
    <row r="12887" spans="1:1">
      <c r="A12887" s="22"/>
    </row>
    <row r="12888" spans="1:1">
      <c r="A12888" s="22"/>
    </row>
    <row r="12889" spans="1:1">
      <c r="A12889" s="22"/>
    </row>
    <row r="12890" spans="1:1">
      <c r="A12890" s="22"/>
    </row>
    <row r="12891" spans="1:1">
      <c r="A12891" s="22"/>
    </row>
    <row r="12892" spans="1:1">
      <c r="A12892" s="22"/>
    </row>
    <row r="12893" spans="1:1">
      <c r="A12893" s="22"/>
    </row>
    <row r="12894" spans="1:1">
      <c r="A12894" s="22"/>
    </row>
    <row r="12895" spans="1:1">
      <c r="A12895" s="22"/>
    </row>
    <row r="12896" spans="1:1">
      <c r="A12896" s="22"/>
    </row>
    <row r="12897" spans="1:1">
      <c r="A12897" s="22"/>
    </row>
    <row r="12898" spans="1:1">
      <c r="A12898" s="22"/>
    </row>
    <row r="12899" spans="1:1">
      <c r="A12899" s="22"/>
    </row>
    <row r="12900" spans="1:1">
      <c r="A12900" s="22"/>
    </row>
    <row r="12901" spans="1:1">
      <c r="A12901" s="22"/>
    </row>
    <row r="12902" spans="1:1">
      <c r="A12902" s="22"/>
    </row>
    <row r="12903" spans="1:1">
      <c r="A12903" s="22"/>
    </row>
    <row r="12904" spans="1:1">
      <c r="A12904" s="22"/>
    </row>
    <row r="12905" spans="1:1">
      <c r="A12905" s="22"/>
    </row>
    <row r="12906" spans="1:1">
      <c r="A12906" s="22"/>
    </row>
    <row r="12907" spans="1:1">
      <c r="A12907" s="22"/>
    </row>
    <row r="12908" spans="1:1">
      <c r="A12908" s="22"/>
    </row>
    <row r="12909" spans="1:1">
      <c r="A12909" s="22"/>
    </row>
    <row r="12910" spans="1:1">
      <c r="A12910" s="22"/>
    </row>
    <row r="12911" spans="1:1">
      <c r="A12911" s="22"/>
    </row>
    <row r="12912" spans="1:1">
      <c r="A12912" s="22"/>
    </row>
    <row r="12913" spans="1:1">
      <c r="A12913" s="22"/>
    </row>
    <row r="12914" spans="1:1">
      <c r="A12914" s="22"/>
    </row>
    <row r="12915" spans="1:1">
      <c r="A12915" s="22"/>
    </row>
    <row r="12916" spans="1:1">
      <c r="A12916" s="22"/>
    </row>
    <row r="12917" spans="1:1">
      <c r="A12917" s="22"/>
    </row>
    <row r="12918" spans="1:1">
      <c r="A12918" s="22"/>
    </row>
    <row r="12919" spans="1:1">
      <c r="A12919" s="22"/>
    </row>
    <row r="12920" spans="1:1">
      <c r="A12920" s="22"/>
    </row>
    <row r="12921" spans="1:1">
      <c r="A12921" s="22"/>
    </row>
    <row r="12922" spans="1:1">
      <c r="A12922" s="22"/>
    </row>
    <row r="12923" spans="1:1">
      <c r="A12923" s="22"/>
    </row>
    <row r="12924" spans="1:1">
      <c r="A12924" s="22"/>
    </row>
    <row r="12925" spans="1:1">
      <c r="A12925" s="22"/>
    </row>
    <row r="12926" spans="1:1">
      <c r="A12926" s="22"/>
    </row>
    <row r="12927" spans="1:1">
      <c r="A12927" s="22"/>
    </row>
    <row r="12928" spans="1:1">
      <c r="A12928" s="22"/>
    </row>
    <row r="12929" spans="1:1">
      <c r="A12929" s="22"/>
    </row>
    <row r="12930" spans="1:1">
      <c r="A12930" s="22"/>
    </row>
    <row r="12931" spans="1:1">
      <c r="A12931" s="22"/>
    </row>
    <row r="12932" spans="1:1">
      <c r="A12932" s="22"/>
    </row>
    <row r="12933" spans="1:1">
      <c r="A12933" s="22"/>
    </row>
    <row r="12934" spans="1:1">
      <c r="A12934" s="22"/>
    </row>
    <row r="12935" spans="1:1">
      <c r="A12935" s="22"/>
    </row>
    <row r="12936" spans="1:1">
      <c r="A12936" s="22"/>
    </row>
    <row r="12937" spans="1:1">
      <c r="A12937" s="22"/>
    </row>
    <row r="12938" spans="1:1">
      <c r="A12938" s="22"/>
    </row>
    <row r="12939" spans="1:1">
      <c r="A12939" s="22"/>
    </row>
    <row r="12940" spans="1:1">
      <c r="A12940" s="22"/>
    </row>
    <row r="12941" spans="1:1">
      <c r="A12941" s="22"/>
    </row>
    <row r="12942" spans="1:1">
      <c r="A12942" s="22"/>
    </row>
    <row r="12943" spans="1:1">
      <c r="A12943" s="22"/>
    </row>
    <row r="12944" spans="1:1">
      <c r="A12944" s="22"/>
    </row>
    <row r="12945" spans="1:1">
      <c r="A12945" s="22"/>
    </row>
    <row r="12946" spans="1:1">
      <c r="A12946" s="22"/>
    </row>
    <row r="12947" spans="1:1">
      <c r="A12947" s="22"/>
    </row>
    <row r="12948" spans="1:1">
      <c r="A12948" s="22"/>
    </row>
    <row r="12949" spans="1:1">
      <c r="A12949" s="22"/>
    </row>
    <row r="12950" spans="1:1">
      <c r="A12950" s="22"/>
    </row>
    <row r="12951" spans="1:1">
      <c r="A12951" s="22"/>
    </row>
    <row r="12952" spans="1:1">
      <c r="A12952" s="22"/>
    </row>
    <row r="12953" spans="1:1">
      <c r="A12953" s="22"/>
    </row>
    <row r="12954" spans="1:1">
      <c r="A12954" s="22"/>
    </row>
    <row r="12955" spans="1:1">
      <c r="A12955" s="22"/>
    </row>
    <row r="12956" spans="1:1">
      <c r="A12956" s="22"/>
    </row>
    <row r="12957" spans="1:1">
      <c r="A12957" s="22"/>
    </row>
    <row r="12958" spans="1:1">
      <c r="A12958" s="22"/>
    </row>
    <row r="12959" spans="1:1">
      <c r="A12959" s="22"/>
    </row>
    <row r="12960" spans="1:1">
      <c r="A12960" s="22"/>
    </row>
    <row r="12961" spans="1:1">
      <c r="A12961" s="22"/>
    </row>
    <row r="12962" spans="1:1">
      <c r="A12962" s="22"/>
    </row>
    <row r="12963" spans="1:1">
      <c r="A12963" s="22"/>
    </row>
    <row r="12964" spans="1:1">
      <c r="A12964" s="22"/>
    </row>
    <row r="12965" spans="1:1">
      <c r="A12965" s="22"/>
    </row>
    <row r="12966" spans="1:1">
      <c r="A12966" s="22"/>
    </row>
    <row r="12967" spans="1:1">
      <c r="A12967" s="22"/>
    </row>
    <row r="12968" spans="1:1">
      <c r="A12968" s="22"/>
    </row>
    <row r="12969" spans="1:1">
      <c r="A12969" s="22"/>
    </row>
    <row r="12970" spans="1:1">
      <c r="A12970" s="22"/>
    </row>
    <row r="12971" spans="1:1">
      <c r="A12971" s="22"/>
    </row>
    <row r="12972" spans="1:1">
      <c r="A12972" s="22"/>
    </row>
    <row r="12973" spans="1:1">
      <c r="A12973" s="22"/>
    </row>
    <row r="12974" spans="1:1">
      <c r="A12974" s="22"/>
    </row>
    <row r="12975" spans="1:1">
      <c r="A12975" s="22"/>
    </row>
    <row r="12976" spans="1:1">
      <c r="A12976" s="22"/>
    </row>
    <row r="12977" spans="1:1">
      <c r="A12977" s="22"/>
    </row>
    <row r="12978" spans="1:1">
      <c r="A12978" s="22"/>
    </row>
    <row r="12979" spans="1:1">
      <c r="A12979" s="22"/>
    </row>
    <row r="12980" spans="1:1">
      <c r="A12980" s="22"/>
    </row>
    <row r="12981" spans="1:1">
      <c r="A12981" s="22"/>
    </row>
    <row r="12982" spans="1:1">
      <c r="A12982" s="22"/>
    </row>
    <row r="12983" spans="1:1">
      <c r="A12983" s="22"/>
    </row>
    <row r="12984" spans="1:1">
      <c r="A12984" s="22"/>
    </row>
    <row r="12985" spans="1:1">
      <c r="A12985" s="22"/>
    </row>
    <row r="12986" spans="1:1">
      <c r="A12986" s="22"/>
    </row>
    <row r="12987" spans="1:1">
      <c r="A12987" s="22"/>
    </row>
    <row r="12988" spans="1:1">
      <c r="A12988" s="22"/>
    </row>
    <row r="12989" spans="1:1">
      <c r="A12989" s="22"/>
    </row>
    <row r="12990" spans="1:1">
      <c r="A12990" s="22"/>
    </row>
    <row r="12991" spans="1:1">
      <c r="A12991" s="22"/>
    </row>
    <row r="12992" spans="1:1">
      <c r="A12992" s="22"/>
    </row>
    <row r="12993" spans="1:1">
      <c r="A12993" s="22"/>
    </row>
    <row r="12994" spans="1:1">
      <c r="A12994" s="22"/>
    </row>
    <row r="12995" spans="1:1">
      <c r="A12995" s="22"/>
    </row>
    <row r="12996" spans="1:1">
      <c r="A12996" s="22"/>
    </row>
    <row r="12997" spans="1:1">
      <c r="A12997" s="22"/>
    </row>
    <row r="12998" spans="1:1">
      <c r="A12998" s="22"/>
    </row>
    <row r="12999" spans="1:1">
      <c r="A12999" s="22"/>
    </row>
    <row r="13000" spans="1:1">
      <c r="A13000" s="22"/>
    </row>
    <row r="13001" spans="1:1">
      <c r="A13001" s="22"/>
    </row>
    <row r="13002" spans="1:1">
      <c r="A13002" s="22"/>
    </row>
    <row r="13003" spans="1:1">
      <c r="A13003" s="22"/>
    </row>
    <row r="13004" spans="1:1">
      <c r="A13004" s="22"/>
    </row>
    <row r="13005" spans="1:1">
      <c r="A13005" s="22"/>
    </row>
    <row r="13006" spans="1:1">
      <c r="A13006" s="22"/>
    </row>
    <row r="13007" spans="1:1">
      <c r="A13007" s="22"/>
    </row>
    <row r="13008" spans="1:1">
      <c r="A13008" s="22"/>
    </row>
    <row r="13009" spans="1:1">
      <c r="A13009" s="22"/>
    </row>
    <row r="13010" spans="1:1">
      <c r="A13010" s="22"/>
    </row>
    <row r="13011" spans="1:1">
      <c r="A13011" s="22"/>
    </row>
    <row r="13012" spans="1:1">
      <c r="A13012" s="22"/>
    </row>
    <row r="13013" spans="1:1">
      <c r="A13013" s="22"/>
    </row>
    <row r="13014" spans="1:1">
      <c r="A13014" s="22"/>
    </row>
    <row r="13015" spans="1:1">
      <c r="A13015" s="22"/>
    </row>
    <row r="13016" spans="1:1">
      <c r="A13016" s="22"/>
    </row>
    <row r="13017" spans="1:1">
      <c r="A13017" s="22"/>
    </row>
    <row r="13018" spans="1:1">
      <c r="A13018" s="22"/>
    </row>
    <row r="13019" spans="1:1">
      <c r="A13019" s="22"/>
    </row>
    <row r="13020" spans="1:1">
      <c r="A13020" s="22"/>
    </row>
    <row r="13021" spans="1:1">
      <c r="A13021" s="22"/>
    </row>
    <row r="13022" spans="1:1">
      <c r="A13022" s="22"/>
    </row>
    <row r="13023" spans="1:1">
      <c r="A13023" s="22"/>
    </row>
    <row r="13024" spans="1:1">
      <c r="A13024" s="22"/>
    </row>
    <row r="13025" spans="1:1">
      <c r="A13025" s="22"/>
    </row>
    <row r="13026" spans="1:1">
      <c r="A13026" s="22"/>
    </row>
    <row r="13027" spans="1:1">
      <c r="A13027" s="22"/>
    </row>
    <row r="13028" spans="1:1">
      <c r="A13028" s="22"/>
    </row>
    <row r="13029" spans="1:1">
      <c r="A13029" s="22"/>
    </row>
    <row r="13030" spans="1:1">
      <c r="A13030" s="22"/>
    </row>
    <row r="13031" spans="1:1">
      <c r="A13031" s="22"/>
    </row>
    <row r="13032" spans="1:1">
      <c r="A13032" s="22"/>
    </row>
    <row r="13033" spans="1:1">
      <c r="A13033" s="22"/>
    </row>
    <row r="13034" spans="1:1">
      <c r="A13034" s="22"/>
    </row>
    <row r="13035" spans="1:1">
      <c r="A13035" s="22"/>
    </row>
    <row r="13036" spans="1:1">
      <c r="A13036" s="22"/>
    </row>
    <row r="13037" spans="1:1">
      <c r="A13037" s="22"/>
    </row>
    <row r="13038" spans="1:1">
      <c r="A13038" s="22"/>
    </row>
    <row r="13039" spans="1:1">
      <c r="A13039" s="22"/>
    </row>
    <row r="13040" spans="1:1">
      <c r="A13040" s="22"/>
    </row>
    <row r="13041" spans="1:1">
      <c r="A13041" s="22"/>
    </row>
    <row r="13042" spans="1:1">
      <c r="A13042" s="22"/>
    </row>
    <row r="13043" spans="1:1">
      <c r="A13043" s="22"/>
    </row>
    <row r="13044" spans="1:1">
      <c r="A13044" s="22"/>
    </row>
    <row r="13045" spans="1:1">
      <c r="A13045" s="22"/>
    </row>
    <row r="13046" spans="1:1">
      <c r="A13046" s="22"/>
    </row>
    <row r="13047" spans="1:1">
      <c r="A13047" s="22"/>
    </row>
    <row r="13048" spans="1:1">
      <c r="A13048" s="22"/>
    </row>
    <row r="13049" spans="1:1">
      <c r="A13049" s="22"/>
    </row>
    <row r="13050" spans="1:1">
      <c r="A13050" s="22"/>
    </row>
    <row r="13051" spans="1:1">
      <c r="A13051" s="22"/>
    </row>
    <row r="13052" spans="1:1">
      <c r="A13052" s="22"/>
    </row>
    <row r="13053" spans="1:1">
      <c r="A13053" s="22"/>
    </row>
    <row r="13054" spans="1:1">
      <c r="A13054" s="22"/>
    </row>
    <row r="13055" spans="1:1">
      <c r="A13055" s="22"/>
    </row>
    <row r="13056" spans="1:1">
      <c r="A13056" s="22"/>
    </row>
    <row r="13057" spans="1:1">
      <c r="A13057" s="22"/>
    </row>
    <row r="13058" spans="1:1">
      <c r="A13058" s="22"/>
    </row>
    <row r="13059" spans="1:1">
      <c r="A13059" s="22"/>
    </row>
    <row r="13060" spans="1:1">
      <c r="A13060" s="22"/>
    </row>
    <row r="13061" spans="1:1">
      <c r="A13061" s="22"/>
    </row>
    <row r="13062" spans="1:1">
      <c r="A13062" s="22"/>
    </row>
    <row r="13063" spans="1:1">
      <c r="A13063" s="22"/>
    </row>
    <row r="13064" spans="1:1">
      <c r="A13064" s="22"/>
    </row>
    <row r="13065" spans="1:1">
      <c r="A13065" s="22"/>
    </row>
    <row r="13066" spans="1:1">
      <c r="A13066" s="22"/>
    </row>
    <row r="13067" spans="1:1">
      <c r="A13067" s="22"/>
    </row>
    <row r="13068" spans="1:1">
      <c r="A13068" s="22"/>
    </row>
    <row r="13069" spans="1:1">
      <c r="A13069" s="22"/>
    </row>
    <row r="13070" spans="1:1">
      <c r="A13070" s="22"/>
    </row>
    <row r="13071" spans="1:1">
      <c r="A13071" s="22"/>
    </row>
    <row r="13072" spans="1:1">
      <c r="A13072" s="22"/>
    </row>
    <row r="13073" spans="1:1">
      <c r="A13073" s="22"/>
    </row>
    <row r="13074" spans="1:1">
      <c r="A13074" s="22"/>
    </row>
    <row r="13075" spans="1:1">
      <c r="A13075" s="22"/>
    </row>
    <row r="13076" spans="1:1">
      <c r="A13076" s="22"/>
    </row>
    <row r="13077" spans="1:1">
      <c r="A13077" s="22"/>
    </row>
    <row r="13078" spans="1:1">
      <c r="A13078" s="22"/>
    </row>
    <row r="13079" spans="1:1">
      <c r="A13079" s="22"/>
    </row>
    <row r="13080" spans="1:1">
      <c r="A13080" s="22"/>
    </row>
    <row r="13081" spans="1:1">
      <c r="A13081" s="22"/>
    </row>
    <row r="13082" spans="1:1">
      <c r="A13082" s="22"/>
    </row>
    <row r="13083" spans="1:1">
      <c r="A13083" s="22"/>
    </row>
    <row r="13084" spans="1:1">
      <c r="A13084" s="22"/>
    </row>
    <row r="13085" spans="1:1">
      <c r="A13085" s="22"/>
    </row>
    <row r="13086" spans="1:1">
      <c r="A13086" s="22"/>
    </row>
    <row r="13087" spans="1:1">
      <c r="A13087" s="22"/>
    </row>
    <row r="13088" spans="1:1">
      <c r="A13088" s="22"/>
    </row>
    <row r="13089" spans="1:1">
      <c r="A13089" s="22"/>
    </row>
    <row r="13090" spans="1:1">
      <c r="A13090" s="22"/>
    </row>
    <row r="13091" spans="1:1">
      <c r="A13091" s="22"/>
    </row>
    <row r="13092" spans="1:1">
      <c r="A13092" s="22"/>
    </row>
    <row r="13093" spans="1:1">
      <c r="A13093" s="22"/>
    </row>
    <row r="13094" spans="1:1">
      <c r="A13094" s="22"/>
    </row>
    <row r="13095" spans="1:1">
      <c r="A13095" s="22"/>
    </row>
    <row r="13096" spans="1:1">
      <c r="A13096" s="22"/>
    </row>
    <row r="13097" spans="1:1">
      <c r="A13097" s="22"/>
    </row>
    <row r="13098" spans="1:1">
      <c r="A13098" s="22"/>
    </row>
    <row r="13099" spans="1:1">
      <c r="A13099" s="22"/>
    </row>
    <row r="13100" spans="1:1">
      <c r="A13100" s="22"/>
    </row>
    <row r="13101" spans="1:1">
      <c r="A13101" s="22"/>
    </row>
    <row r="13102" spans="1:1">
      <c r="A13102" s="22"/>
    </row>
    <row r="13103" spans="1:1">
      <c r="A13103" s="22"/>
    </row>
    <row r="13104" spans="1:1">
      <c r="A13104" s="22"/>
    </row>
    <row r="13105" spans="1:1">
      <c r="A13105" s="22"/>
    </row>
    <row r="13106" spans="1:1">
      <c r="A13106" s="22"/>
    </row>
    <row r="13107" spans="1:1">
      <c r="A13107" s="22"/>
    </row>
    <row r="13108" spans="1:1">
      <c r="A13108" s="22"/>
    </row>
    <row r="13109" spans="1:1">
      <c r="A13109" s="22"/>
    </row>
    <row r="13110" spans="1:1">
      <c r="A13110" s="22"/>
    </row>
    <row r="13111" spans="1:1">
      <c r="A13111" s="22"/>
    </row>
    <row r="13112" spans="1:1">
      <c r="A13112" s="22"/>
    </row>
    <row r="13113" spans="1:1">
      <c r="A13113" s="22"/>
    </row>
    <row r="13114" spans="1:1">
      <c r="A13114" s="22"/>
    </row>
    <row r="13115" spans="1:1">
      <c r="A13115" s="22"/>
    </row>
    <row r="13116" spans="1:1">
      <c r="A13116" s="22"/>
    </row>
    <row r="13117" spans="1:1">
      <c r="A13117" s="22"/>
    </row>
    <row r="13118" spans="1:1">
      <c r="A13118" s="22"/>
    </row>
    <row r="13119" spans="1:1">
      <c r="A13119" s="22"/>
    </row>
    <row r="13120" spans="1:1">
      <c r="A13120" s="22"/>
    </row>
    <row r="13121" spans="1:1">
      <c r="A13121" s="22"/>
    </row>
    <row r="13122" spans="1:1">
      <c r="A13122" s="22"/>
    </row>
    <row r="13123" spans="1:1">
      <c r="A13123" s="22"/>
    </row>
    <row r="13124" spans="1:1">
      <c r="A13124" s="22"/>
    </row>
    <row r="13125" spans="1:1">
      <c r="A13125" s="22"/>
    </row>
    <row r="13126" spans="1:1">
      <c r="A13126" s="22"/>
    </row>
    <row r="13127" spans="1:1">
      <c r="A13127" s="22"/>
    </row>
    <row r="13128" spans="1:1">
      <c r="A13128" s="22"/>
    </row>
    <row r="13129" spans="1:1">
      <c r="A13129" s="22"/>
    </row>
    <row r="13130" spans="1:1">
      <c r="A13130" s="22"/>
    </row>
    <row r="13131" spans="1:1">
      <c r="A13131" s="22"/>
    </row>
    <row r="13132" spans="1:1">
      <c r="A13132" s="22"/>
    </row>
    <row r="13133" spans="1:1">
      <c r="A13133" s="22"/>
    </row>
    <row r="13134" spans="1:1">
      <c r="A13134" s="22"/>
    </row>
    <row r="13135" spans="1:1">
      <c r="A13135" s="22"/>
    </row>
    <row r="13136" spans="1:1">
      <c r="A13136" s="22"/>
    </row>
    <row r="13137" spans="1:1">
      <c r="A13137" s="22"/>
    </row>
    <row r="13138" spans="1:1">
      <c r="A13138" s="22"/>
    </row>
    <row r="13139" spans="1:1">
      <c r="A13139" s="22"/>
    </row>
    <row r="13140" spans="1:1">
      <c r="A13140" s="22"/>
    </row>
    <row r="13141" spans="1:1">
      <c r="A13141" s="22"/>
    </row>
    <row r="13142" spans="1:1">
      <c r="A13142" s="22"/>
    </row>
    <row r="13143" spans="1:1">
      <c r="A13143" s="22"/>
    </row>
    <row r="13144" spans="1:1">
      <c r="A13144" s="22"/>
    </row>
    <row r="13145" spans="1:1">
      <c r="A13145" s="22"/>
    </row>
    <row r="13146" spans="1:1">
      <c r="A13146" s="22"/>
    </row>
    <row r="13147" spans="1:1">
      <c r="A13147" s="22"/>
    </row>
    <row r="13148" spans="1:1">
      <c r="A13148" s="22"/>
    </row>
    <row r="13149" spans="1:1">
      <c r="A13149" s="22"/>
    </row>
    <row r="13150" spans="1:1">
      <c r="A13150" s="22"/>
    </row>
    <row r="13151" spans="1:1">
      <c r="A13151" s="22"/>
    </row>
    <row r="13152" spans="1:1">
      <c r="A13152" s="22"/>
    </row>
    <row r="13153" spans="1:1">
      <c r="A13153" s="22"/>
    </row>
    <row r="13154" spans="1:1">
      <c r="A13154" s="22"/>
    </row>
    <row r="13155" spans="1:1">
      <c r="A13155" s="22"/>
    </row>
    <row r="13156" spans="1:1">
      <c r="A13156" s="22"/>
    </row>
    <row r="13157" spans="1:1">
      <c r="A13157" s="22"/>
    </row>
    <row r="13158" spans="1:1">
      <c r="A13158" s="22"/>
    </row>
    <row r="13159" spans="1:1">
      <c r="A13159" s="22"/>
    </row>
    <row r="13160" spans="1:1">
      <c r="A13160" s="22"/>
    </row>
    <row r="13161" spans="1:1">
      <c r="A13161" s="22"/>
    </row>
    <row r="13162" spans="1:1">
      <c r="A13162" s="22"/>
    </row>
    <row r="13163" spans="1:1">
      <c r="A13163" s="22"/>
    </row>
    <row r="13164" spans="1:1">
      <c r="A13164" s="22"/>
    </row>
    <row r="13165" spans="1:1">
      <c r="A13165" s="22"/>
    </row>
    <row r="13166" spans="1:1">
      <c r="A13166" s="22"/>
    </row>
    <row r="13167" spans="1:1">
      <c r="A13167" s="22"/>
    </row>
    <row r="13168" spans="1:1">
      <c r="A13168" s="22"/>
    </row>
    <row r="13169" spans="1:1">
      <c r="A13169" s="22"/>
    </row>
    <row r="13170" spans="1:1">
      <c r="A13170" s="22"/>
    </row>
    <row r="13171" spans="1:1">
      <c r="A13171" s="22"/>
    </row>
    <row r="13172" spans="1:1">
      <c r="A13172" s="22"/>
    </row>
    <row r="13173" spans="1:1">
      <c r="A13173" s="22"/>
    </row>
    <row r="13174" spans="1:1">
      <c r="A13174" s="22"/>
    </row>
    <row r="13175" spans="1:1">
      <c r="A13175" s="22"/>
    </row>
    <row r="13176" spans="1:1">
      <c r="A13176" s="22"/>
    </row>
    <row r="13177" spans="1:1">
      <c r="A13177" s="22"/>
    </row>
    <row r="13178" spans="1:1">
      <c r="A13178" s="22"/>
    </row>
    <row r="13179" spans="1:1">
      <c r="A13179" s="22"/>
    </row>
    <row r="13180" spans="1:1">
      <c r="A13180" s="22"/>
    </row>
    <row r="13181" spans="1:1">
      <c r="A13181" s="22"/>
    </row>
    <row r="13182" spans="1:1">
      <c r="A13182" s="22"/>
    </row>
    <row r="13183" spans="1:1">
      <c r="A13183" s="22"/>
    </row>
    <row r="13184" spans="1:1">
      <c r="A13184" s="22"/>
    </row>
    <row r="13185" spans="1:1">
      <c r="A13185" s="22"/>
    </row>
    <row r="13186" spans="1:1">
      <c r="A13186" s="22"/>
    </row>
    <row r="13187" spans="1:1">
      <c r="A13187" s="22"/>
    </row>
    <row r="13188" spans="1:1">
      <c r="A13188" s="22"/>
    </row>
    <row r="13189" spans="1:1">
      <c r="A13189" s="22"/>
    </row>
    <row r="13190" spans="1:1">
      <c r="A13190" s="22"/>
    </row>
    <row r="13191" spans="1:1">
      <c r="A13191" s="22"/>
    </row>
    <row r="13192" spans="1:1">
      <c r="A13192" s="22"/>
    </row>
    <row r="13193" spans="1:1">
      <c r="A13193" s="22"/>
    </row>
    <row r="13194" spans="1:1">
      <c r="A13194" s="22"/>
    </row>
    <row r="13195" spans="1:1">
      <c r="A13195" s="22"/>
    </row>
    <row r="13196" spans="1:1">
      <c r="A13196" s="22"/>
    </row>
    <row r="13197" spans="1:1">
      <c r="A13197" s="22"/>
    </row>
    <row r="13198" spans="1:1">
      <c r="A13198" s="22"/>
    </row>
    <row r="13199" spans="1:1">
      <c r="A13199" s="22"/>
    </row>
    <row r="13200" spans="1:1">
      <c r="A13200" s="22"/>
    </row>
    <row r="13201" spans="1:1">
      <c r="A13201" s="22"/>
    </row>
    <row r="13202" spans="1:1">
      <c r="A13202" s="22"/>
    </row>
    <row r="13203" spans="1:1">
      <c r="A13203" s="22"/>
    </row>
    <row r="13204" spans="1:1">
      <c r="A13204" s="22"/>
    </row>
    <row r="13205" spans="1:1">
      <c r="A13205" s="22"/>
    </row>
    <row r="13206" spans="1:1">
      <c r="A13206" s="22"/>
    </row>
    <row r="13207" spans="1:1">
      <c r="A13207" s="22"/>
    </row>
    <row r="13208" spans="1:1">
      <c r="A13208" s="22"/>
    </row>
    <row r="13209" spans="1:1">
      <c r="A13209" s="22"/>
    </row>
    <row r="13210" spans="1:1">
      <c r="A13210" s="22"/>
    </row>
    <row r="13211" spans="1:1">
      <c r="A13211" s="22"/>
    </row>
    <row r="13212" spans="1:1">
      <c r="A13212" s="22"/>
    </row>
    <row r="13213" spans="1:1">
      <c r="A13213" s="22"/>
    </row>
    <row r="13214" spans="1:1">
      <c r="A13214" s="22"/>
    </row>
    <row r="13215" spans="1:1">
      <c r="A13215" s="22"/>
    </row>
    <row r="13216" spans="1:1">
      <c r="A13216" s="22"/>
    </row>
    <row r="13217" spans="1:1">
      <c r="A13217" s="22"/>
    </row>
    <row r="13218" spans="1:1">
      <c r="A13218" s="22"/>
    </row>
    <row r="13219" spans="1:1">
      <c r="A13219" s="22"/>
    </row>
    <row r="13220" spans="1:1">
      <c r="A13220" s="22"/>
    </row>
    <row r="13221" spans="1:1">
      <c r="A13221" s="22"/>
    </row>
    <row r="13222" spans="1:1">
      <c r="A13222" s="22"/>
    </row>
    <row r="13223" spans="1:1">
      <c r="A13223" s="22"/>
    </row>
    <row r="13224" spans="1:1">
      <c r="A13224" s="22"/>
    </row>
    <row r="13225" spans="1:1">
      <c r="A13225" s="22"/>
    </row>
    <row r="13226" spans="1:1">
      <c r="A13226" s="22"/>
    </row>
    <row r="13227" spans="1:1">
      <c r="A13227" s="22"/>
    </row>
    <row r="13228" spans="1:1">
      <c r="A13228" s="22"/>
    </row>
    <row r="13229" spans="1:1">
      <c r="A13229" s="22"/>
    </row>
    <row r="13230" spans="1:1">
      <c r="A13230" s="22"/>
    </row>
    <row r="13231" spans="1:1">
      <c r="A13231" s="22"/>
    </row>
    <row r="13232" spans="1:1">
      <c r="A13232" s="22"/>
    </row>
    <row r="13233" spans="1:1">
      <c r="A13233" s="22"/>
    </row>
    <row r="13234" spans="1:1">
      <c r="A13234" s="22"/>
    </row>
    <row r="13235" spans="1:1">
      <c r="A13235" s="22"/>
    </row>
    <row r="13236" spans="1:1">
      <c r="A13236" s="22"/>
    </row>
    <row r="13237" spans="1:1">
      <c r="A13237" s="22"/>
    </row>
    <row r="13238" spans="1:1">
      <c r="A13238" s="22"/>
    </row>
    <row r="13239" spans="1:1">
      <c r="A13239" s="22"/>
    </row>
    <row r="13240" spans="1:1">
      <c r="A13240" s="22"/>
    </row>
    <row r="13241" spans="1:1">
      <c r="A13241" s="22"/>
    </row>
    <row r="13242" spans="1:1">
      <c r="A13242" s="22"/>
    </row>
    <row r="13243" spans="1:1">
      <c r="A13243" s="22"/>
    </row>
    <row r="13244" spans="1:1">
      <c r="A13244" s="22"/>
    </row>
    <row r="13245" spans="1:1">
      <c r="A13245" s="22"/>
    </row>
    <row r="13246" spans="1:1">
      <c r="A13246" s="22"/>
    </row>
    <row r="13247" spans="1:1">
      <c r="A13247" s="22"/>
    </row>
    <row r="13248" spans="1:1">
      <c r="A13248" s="22"/>
    </row>
    <row r="13249" spans="1:1">
      <c r="A13249" s="22"/>
    </row>
    <row r="13250" spans="1:1">
      <c r="A13250" s="22"/>
    </row>
    <row r="13251" spans="1:1">
      <c r="A13251" s="22"/>
    </row>
    <row r="13252" spans="1:1">
      <c r="A13252" s="22"/>
    </row>
    <row r="13253" spans="1:1">
      <c r="A13253" s="22"/>
    </row>
    <row r="13254" spans="1:1">
      <c r="A13254" s="22"/>
    </row>
    <row r="13255" spans="1:1">
      <c r="A13255" s="22"/>
    </row>
    <row r="13256" spans="1:1">
      <c r="A13256" s="22"/>
    </row>
    <row r="13257" spans="1:1">
      <c r="A13257" s="22"/>
    </row>
    <row r="13258" spans="1:1">
      <c r="A13258" s="22"/>
    </row>
    <row r="13259" spans="1:1">
      <c r="A13259" s="22"/>
    </row>
    <row r="13260" spans="1:1">
      <c r="A13260" s="22"/>
    </row>
    <row r="13261" spans="1:1">
      <c r="A13261" s="22"/>
    </row>
    <row r="13262" spans="1:1">
      <c r="A13262" s="22"/>
    </row>
    <row r="13263" spans="1:1">
      <c r="A13263" s="22"/>
    </row>
    <row r="13264" spans="1:1">
      <c r="A13264" s="22"/>
    </row>
    <row r="13265" spans="1:1">
      <c r="A13265" s="22"/>
    </row>
    <row r="13266" spans="1:1">
      <c r="A13266" s="22"/>
    </row>
    <row r="13267" spans="1:1">
      <c r="A13267" s="22"/>
    </row>
    <row r="13268" spans="1:1">
      <c r="A13268" s="22"/>
    </row>
    <row r="13269" spans="1:1">
      <c r="A13269" s="22"/>
    </row>
    <row r="13270" spans="1:1">
      <c r="A13270" s="22"/>
    </row>
    <row r="13271" spans="1:1">
      <c r="A13271" s="22"/>
    </row>
    <row r="13272" spans="1:1">
      <c r="A13272" s="22"/>
    </row>
    <row r="13273" spans="1:1">
      <c r="A13273" s="22"/>
    </row>
    <row r="13274" spans="1:1">
      <c r="A13274" s="22"/>
    </row>
    <row r="13275" spans="1:1">
      <c r="A13275" s="22"/>
    </row>
    <row r="13276" spans="1:1">
      <c r="A13276" s="22"/>
    </row>
    <row r="13277" spans="1:1">
      <c r="A13277" s="22"/>
    </row>
    <row r="13278" spans="1:1">
      <c r="A13278" s="22"/>
    </row>
    <row r="13279" spans="1:1">
      <c r="A13279" s="22"/>
    </row>
    <row r="13280" spans="1:1">
      <c r="A13280" s="22"/>
    </row>
    <row r="13281" spans="1:1">
      <c r="A13281" s="22"/>
    </row>
    <row r="13282" spans="1:1">
      <c r="A13282" s="22"/>
    </row>
    <row r="13283" spans="1:1">
      <c r="A13283" s="22"/>
    </row>
    <row r="13284" spans="1:1">
      <c r="A13284" s="22"/>
    </row>
    <row r="13285" spans="1:1">
      <c r="A13285" s="22"/>
    </row>
    <row r="13286" spans="1:1">
      <c r="A13286" s="22"/>
    </row>
    <row r="13287" spans="1:1">
      <c r="A13287" s="22"/>
    </row>
    <row r="13288" spans="1:1">
      <c r="A13288" s="22"/>
    </row>
    <row r="13289" spans="1:1">
      <c r="A13289" s="22"/>
    </row>
    <row r="13290" spans="1:1">
      <c r="A13290" s="22"/>
    </row>
    <row r="13291" spans="1:1">
      <c r="A13291" s="22"/>
    </row>
    <row r="13292" spans="1:1">
      <c r="A13292" s="22"/>
    </row>
    <row r="13293" spans="1:1">
      <c r="A13293" s="22"/>
    </row>
    <row r="13294" spans="1:1">
      <c r="A13294" s="22"/>
    </row>
    <row r="13295" spans="1:1">
      <c r="A13295" s="22"/>
    </row>
    <row r="13296" spans="1:1">
      <c r="A13296" s="22"/>
    </row>
    <row r="13297" spans="1:1">
      <c r="A13297" s="22"/>
    </row>
    <row r="13298" spans="1:1">
      <c r="A13298" s="22"/>
    </row>
    <row r="13299" spans="1:1">
      <c r="A13299" s="22"/>
    </row>
    <row r="13300" spans="1:1">
      <c r="A13300" s="22"/>
    </row>
    <row r="13301" spans="1:1">
      <c r="A13301" s="22"/>
    </row>
    <row r="13302" spans="1:1">
      <c r="A13302" s="22"/>
    </row>
    <row r="13303" spans="1:1">
      <c r="A13303" s="22"/>
    </row>
    <row r="13304" spans="1:1">
      <c r="A13304" s="22"/>
    </row>
    <row r="13305" spans="1:1">
      <c r="A13305" s="22"/>
    </row>
    <row r="13306" spans="1:1">
      <c r="A13306" s="22"/>
    </row>
    <row r="13307" spans="1:1">
      <c r="A13307" s="22"/>
    </row>
    <row r="13308" spans="1:1">
      <c r="A13308" s="22"/>
    </row>
    <row r="13309" spans="1:1">
      <c r="A13309" s="22"/>
    </row>
    <row r="13310" spans="1:1">
      <c r="A13310" s="22"/>
    </row>
    <row r="13311" spans="1:1">
      <c r="A13311" s="22"/>
    </row>
    <row r="13312" spans="1:1">
      <c r="A13312" s="22"/>
    </row>
    <row r="13313" spans="1:1">
      <c r="A13313" s="22"/>
    </row>
    <row r="13314" spans="1:1">
      <c r="A13314" s="22"/>
    </row>
    <row r="13315" spans="1:1">
      <c r="A13315" s="22"/>
    </row>
    <row r="13316" spans="1:1">
      <c r="A13316" s="22"/>
    </row>
    <row r="13317" spans="1:1">
      <c r="A13317" s="22"/>
    </row>
    <row r="13318" spans="1:1">
      <c r="A13318" s="22"/>
    </row>
    <row r="13319" spans="1:1">
      <c r="A13319" s="22"/>
    </row>
    <row r="13320" spans="1:1">
      <c r="A13320" s="22"/>
    </row>
    <row r="13321" spans="1:1">
      <c r="A13321" s="22"/>
    </row>
    <row r="13322" spans="1:1">
      <c r="A13322" s="22"/>
    </row>
    <row r="13323" spans="1:1">
      <c r="A13323" s="22"/>
    </row>
    <row r="13324" spans="1:1">
      <c r="A13324" s="22"/>
    </row>
    <row r="13325" spans="1:1">
      <c r="A13325" s="22"/>
    </row>
    <row r="13326" spans="1:1">
      <c r="A13326" s="22"/>
    </row>
    <row r="13327" spans="1:1">
      <c r="A13327" s="22"/>
    </row>
    <row r="13328" spans="1:1">
      <c r="A13328" s="22"/>
    </row>
    <row r="13329" spans="1:1">
      <c r="A13329" s="22"/>
    </row>
    <row r="13330" spans="1:1">
      <c r="A13330" s="22"/>
    </row>
    <row r="13331" spans="1:1">
      <c r="A13331" s="22"/>
    </row>
    <row r="13332" spans="1:1">
      <c r="A13332" s="22"/>
    </row>
    <row r="13333" spans="1:1">
      <c r="A13333" s="22"/>
    </row>
    <row r="13334" spans="1:1">
      <c r="A13334" s="22"/>
    </row>
    <row r="13335" spans="1:1">
      <c r="A13335" s="22"/>
    </row>
    <row r="13336" spans="1:1">
      <c r="A13336" s="22"/>
    </row>
    <row r="13337" spans="1:1">
      <c r="A13337" s="22"/>
    </row>
    <row r="13338" spans="1:1">
      <c r="A13338" s="22"/>
    </row>
    <row r="13339" spans="1:1">
      <c r="A13339" s="22"/>
    </row>
    <row r="13340" spans="1:1">
      <c r="A13340" s="22"/>
    </row>
    <row r="13341" spans="1:1">
      <c r="A13341" s="22"/>
    </row>
    <row r="13342" spans="1:1">
      <c r="A13342" s="22"/>
    </row>
    <row r="13343" spans="1:1">
      <c r="A13343" s="22"/>
    </row>
    <row r="13344" spans="1:1">
      <c r="A13344" s="22"/>
    </row>
    <row r="13345" spans="1:1">
      <c r="A13345" s="22"/>
    </row>
    <row r="13346" spans="1:1">
      <c r="A13346" s="22"/>
    </row>
    <row r="13347" spans="1:1">
      <c r="A13347" s="22"/>
    </row>
    <row r="13348" spans="1:1">
      <c r="A13348" s="22"/>
    </row>
    <row r="13349" spans="1:1">
      <c r="A13349" s="22"/>
    </row>
    <row r="13350" spans="1:1">
      <c r="A13350" s="22"/>
    </row>
    <row r="13351" spans="1:1">
      <c r="A13351" s="22"/>
    </row>
    <row r="13352" spans="1:1">
      <c r="A13352" s="22"/>
    </row>
    <row r="13353" spans="1:1">
      <c r="A13353" s="22"/>
    </row>
    <row r="13354" spans="1:1">
      <c r="A13354" s="22"/>
    </row>
    <row r="13355" spans="1:1">
      <c r="A13355" s="22"/>
    </row>
    <row r="13356" spans="1:1">
      <c r="A13356" s="22"/>
    </row>
    <row r="13357" spans="1:1">
      <c r="A13357" s="22"/>
    </row>
    <row r="13358" spans="1:1">
      <c r="A13358" s="22"/>
    </row>
    <row r="13359" spans="1:1">
      <c r="A13359" s="22"/>
    </row>
    <row r="13360" spans="1:1">
      <c r="A13360" s="22"/>
    </row>
    <row r="13361" spans="1:1">
      <c r="A13361" s="22"/>
    </row>
    <row r="13362" spans="1:1">
      <c r="A13362" s="22"/>
    </row>
    <row r="13363" spans="1:1">
      <c r="A13363" s="22"/>
    </row>
    <row r="13364" spans="1:1">
      <c r="A13364" s="22"/>
    </row>
    <row r="13365" spans="1:1">
      <c r="A13365" s="22"/>
    </row>
    <row r="13366" spans="1:1">
      <c r="A13366" s="22"/>
    </row>
    <row r="13367" spans="1:1">
      <c r="A13367" s="22"/>
    </row>
    <row r="13368" spans="1:1">
      <c r="A13368" s="22"/>
    </row>
    <row r="13369" spans="1:1">
      <c r="A13369" s="22"/>
    </row>
    <row r="13370" spans="1:1">
      <c r="A13370" s="22"/>
    </row>
    <row r="13371" spans="1:1">
      <c r="A13371" s="22"/>
    </row>
    <row r="13372" spans="1:1">
      <c r="A13372" s="22"/>
    </row>
    <row r="13373" spans="1:1">
      <c r="A13373" s="22"/>
    </row>
    <row r="13374" spans="1:1">
      <c r="A13374" s="22"/>
    </row>
    <row r="13375" spans="1:1">
      <c r="A13375" s="22"/>
    </row>
    <row r="13376" spans="1:1">
      <c r="A13376" s="22"/>
    </row>
    <row r="13377" spans="1:1">
      <c r="A13377" s="22"/>
    </row>
    <row r="13378" spans="1:1">
      <c r="A13378" s="22"/>
    </row>
    <row r="13379" spans="1:1">
      <c r="A13379" s="22"/>
    </row>
    <row r="13380" spans="1:1">
      <c r="A13380" s="22"/>
    </row>
    <row r="13381" spans="1:1">
      <c r="A13381" s="22"/>
    </row>
    <row r="13382" spans="1:1">
      <c r="A13382" s="22"/>
    </row>
    <row r="13383" spans="1:1">
      <c r="A13383" s="22"/>
    </row>
    <row r="13384" spans="1:1">
      <c r="A13384" s="22"/>
    </row>
    <row r="13385" spans="1:1">
      <c r="A13385" s="22"/>
    </row>
    <row r="13386" spans="1:1">
      <c r="A13386" s="22"/>
    </row>
    <row r="13387" spans="1:1">
      <c r="A13387" s="22"/>
    </row>
    <row r="13388" spans="1:1">
      <c r="A13388" s="22"/>
    </row>
    <row r="13389" spans="1:1">
      <c r="A13389" s="22"/>
    </row>
    <row r="13390" spans="1:1">
      <c r="A13390" s="22"/>
    </row>
    <row r="13391" spans="1:1">
      <c r="A13391" s="22"/>
    </row>
    <row r="13392" spans="1:1">
      <c r="A13392" s="22"/>
    </row>
    <row r="13393" spans="1:1">
      <c r="A13393" s="22"/>
    </row>
    <row r="13394" spans="1:1">
      <c r="A13394" s="22"/>
    </row>
    <row r="13395" spans="1:1">
      <c r="A13395" s="22"/>
    </row>
    <row r="13396" spans="1:1">
      <c r="A13396" s="22"/>
    </row>
    <row r="13397" spans="1:1">
      <c r="A13397" s="22"/>
    </row>
    <row r="13398" spans="1:1">
      <c r="A13398" s="22"/>
    </row>
    <row r="13399" spans="1:1">
      <c r="A13399" s="22"/>
    </row>
    <row r="13400" spans="1:1">
      <c r="A13400" s="22"/>
    </row>
    <row r="13401" spans="1:1">
      <c r="A13401" s="22"/>
    </row>
    <row r="13402" spans="1:1">
      <c r="A13402" s="22"/>
    </row>
    <row r="13403" spans="1:1">
      <c r="A13403" s="22"/>
    </row>
    <row r="13404" spans="1:1">
      <c r="A13404" s="22"/>
    </row>
    <row r="13405" spans="1:1">
      <c r="A13405" s="22"/>
    </row>
    <row r="13406" spans="1:1">
      <c r="A13406" s="22"/>
    </row>
    <row r="13407" spans="1:1">
      <c r="A13407" s="22"/>
    </row>
    <row r="13408" spans="1:1">
      <c r="A13408" s="22"/>
    </row>
    <row r="13409" spans="1:1">
      <c r="A13409" s="22"/>
    </row>
    <row r="13410" spans="1:1">
      <c r="A13410" s="22"/>
    </row>
    <row r="13411" spans="1:1">
      <c r="A13411" s="22"/>
    </row>
    <row r="13412" spans="1:1">
      <c r="A13412" s="22"/>
    </row>
    <row r="13413" spans="1:1">
      <c r="A13413" s="22"/>
    </row>
    <row r="13414" spans="1:1">
      <c r="A13414" s="22"/>
    </row>
    <row r="13415" spans="1:1">
      <c r="A13415" s="22"/>
    </row>
    <row r="13416" spans="1:1">
      <c r="A13416" s="22"/>
    </row>
    <row r="13417" spans="1:1">
      <c r="A13417" s="22"/>
    </row>
    <row r="13418" spans="1:1">
      <c r="A13418" s="22"/>
    </row>
    <row r="13419" spans="1:1">
      <c r="A13419" s="22"/>
    </row>
    <row r="13420" spans="1:1">
      <c r="A13420" s="22"/>
    </row>
    <row r="13421" spans="1:1">
      <c r="A13421" s="22"/>
    </row>
    <row r="13422" spans="1:1">
      <c r="A13422" s="22"/>
    </row>
    <row r="13423" spans="1:1">
      <c r="A13423" s="22"/>
    </row>
    <row r="13424" spans="1:1">
      <c r="A13424" s="22"/>
    </row>
    <row r="13425" spans="1:1">
      <c r="A13425" s="22"/>
    </row>
    <row r="13426" spans="1:1">
      <c r="A13426" s="22"/>
    </row>
    <row r="13427" spans="1:1">
      <c r="A13427" s="22"/>
    </row>
    <row r="13428" spans="1:1">
      <c r="A13428" s="22"/>
    </row>
    <row r="13429" spans="1:1">
      <c r="A13429" s="22"/>
    </row>
    <row r="13430" spans="1:1">
      <c r="A13430" s="22"/>
    </row>
    <row r="13431" spans="1:1">
      <c r="A13431" s="22"/>
    </row>
    <row r="13432" spans="1:1">
      <c r="A13432" s="22"/>
    </row>
    <row r="13433" spans="1:1">
      <c r="A13433" s="22"/>
    </row>
    <row r="13434" spans="1:1">
      <c r="A13434" s="22"/>
    </row>
    <row r="13435" spans="1:1">
      <c r="A13435" s="22"/>
    </row>
    <row r="13436" spans="1:1">
      <c r="A13436" s="22"/>
    </row>
    <row r="13437" spans="1:1">
      <c r="A13437" s="22"/>
    </row>
    <row r="13438" spans="1:1">
      <c r="A13438" s="22"/>
    </row>
    <row r="13439" spans="1:1">
      <c r="A13439" s="22"/>
    </row>
    <row r="13440" spans="1:1">
      <c r="A13440" s="22"/>
    </row>
    <row r="13441" spans="1:1">
      <c r="A13441" s="22"/>
    </row>
    <row r="13442" spans="1:1">
      <c r="A13442" s="22"/>
    </row>
    <row r="13443" spans="1:1">
      <c r="A13443" s="22"/>
    </row>
    <row r="13444" spans="1:1">
      <c r="A13444" s="22"/>
    </row>
    <row r="13445" spans="1:1">
      <c r="A13445" s="22"/>
    </row>
    <row r="13446" spans="1:1">
      <c r="A13446" s="22"/>
    </row>
    <row r="13447" spans="1:1">
      <c r="A13447" s="22"/>
    </row>
    <row r="13448" spans="1:1">
      <c r="A13448" s="22"/>
    </row>
    <row r="13449" spans="1:1">
      <c r="A13449" s="22"/>
    </row>
    <row r="13450" spans="1:1">
      <c r="A13450" s="22"/>
    </row>
    <row r="13451" spans="1:1">
      <c r="A13451" s="22"/>
    </row>
    <row r="13452" spans="1:1">
      <c r="A13452" s="22"/>
    </row>
    <row r="13453" spans="1:1">
      <c r="A13453" s="22"/>
    </row>
    <row r="13454" spans="1:1">
      <c r="A13454" s="22"/>
    </row>
    <row r="13455" spans="1:1">
      <c r="A13455" s="22"/>
    </row>
    <row r="13456" spans="1:1">
      <c r="A13456" s="22"/>
    </row>
    <row r="13457" spans="1:1">
      <c r="A13457" s="22"/>
    </row>
    <row r="13458" spans="1:1">
      <c r="A13458" s="22"/>
    </row>
    <row r="13459" spans="1:1">
      <c r="A13459" s="22"/>
    </row>
    <row r="13460" spans="1:1">
      <c r="A13460" s="22"/>
    </row>
    <row r="13461" spans="1:1">
      <c r="A13461" s="22"/>
    </row>
    <row r="13462" spans="1:1">
      <c r="A13462" s="22"/>
    </row>
    <row r="13463" spans="1:1">
      <c r="A13463" s="22"/>
    </row>
    <row r="13464" spans="1:1">
      <c r="A13464" s="22"/>
    </row>
    <row r="13465" spans="1:1">
      <c r="A13465" s="22"/>
    </row>
    <row r="13466" spans="1:1">
      <c r="A13466" s="22"/>
    </row>
    <row r="13467" spans="1:1">
      <c r="A13467" s="22"/>
    </row>
    <row r="13468" spans="1:1">
      <c r="A13468" s="22"/>
    </row>
    <row r="13469" spans="1:1">
      <c r="A13469" s="22"/>
    </row>
    <row r="13470" spans="1:1">
      <c r="A13470" s="22"/>
    </row>
    <row r="13471" spans="1:1">
      <c r="A13471" s="22"/>
    </row>
    <row r="13472" spans="1:1">
      <c r="A13472" s="22"/>
    </row>
    <row r="13473" spans="1:1">
      <c r="A13473" s="22"/>
    </row>
    <row r="13474" spans="1:1">
      <c r="A13474" s="22"/>
    </row>
    <row r="13475" spans="1:1">
      <c r="A13475" s="22"/>
    </row>
    <row r="13476" spans="1:1">
      <c r="A13476" s="22"/>
    </row>
    <row r="13477" spans="1:1">
      <c r="A13477" s="22"/>
    </row>
    <row r="13478" spans="1:1">
      <c r="A13478" s="22"/>
    </row>
    <row r="13479" spans="1:1">
      <c r="A13479" s="22"/>
    </row>
    <row r="13480" spans="1:1">
      <c r="A13480" s="22"/>
    </row>
    <row r="13481" spans="1:1">
      <c r="A13481" s="22"/>
    </row>
    <row r="13482" spans="1:1">
      <c r="A13482" s="22"/>
    </row>
    <row r="13483" spans="1:1">
      <c r="A13483" s="22"/>
    </row>
    <row r="13484" spans="1:1">
      <c r="A13484" s="22"/>
    </row>
    <row r="13485" spans="1:1">
      <c r="A13485" s="22"/>
    </row>
    <row r="13486" spans="1:1">
      <c r="A13486" s="22"/>
    </row>
    <row r="13487" spans="1:1">
      <c r="A13487" s="22"/>
    </row>
    <row r="13488" spans="1:1">
      <c r="A13488" s="22"/>
    </row>
    <row r="13489" spans="1:1">
      <c r="A13489" s="22"/>
    </row>
    <row r="13490" spans="1:1">
      <c r="A13490" s="22"/>
    </row>
    <row r="13491" spans="1:1">
      <c r="A13491" s="22"/>
    </row>
    <row r="13492" spans="1:1">
      <c r="A13492" s="22"/>
    </row>
    <row r="13493" spans="1:1">
      <c r="A13493" s="22"/>
    </row>
    <row r="13494" spans="1:1">
      <c r="A13494" s="22"/>
    </row>
    <row r="13495" spans="1:1">
      <c r="A13495" s="22"/>
    </row>
    <row r="13496" spans="1:1">
      <c r="A13496" s="22"/>
    </row>
    <row r="13497" spans="1:1">
      <c r="A13497" s="22"/>
    </row>
    <row r="13498" spans="1:1">
      <c r="A13498" s="22"/>
    </row>
    <row r="13499" spans="1:1">
      <c r="A13499" s="22"/>
    </row>
    <row r="13500" spans="1:1">
      <c r="A13500" s="22"/>
    </row>
    <row r="13501" spans="1:1">
      <c r="A13501" s="22"/>
    </row>
    <row r="13502" spans="1:1">
      <c r="A13502" s="22"/>
    </row>
    <row r="13503" spans="1:1">
      <c r="A13503" s="22"/>
    </row>
    <row r="13504" spans="1:1">
      <c r="A13504" s="22"/>
    </row>
    <row r="13505" spans="1:1">
      <c r="A13505" s="22"/>
    </row>
    <row r="13506" spans="1:1">
      <c r="A13506" s="22"/>
    </row>
    <row r="13507" spans="1:1">
      <c r="A13507" s="22"/>
    </row>
    <row r="13508" spans="1:1">
      <c r="A13508" s="22"/>
    </row>
    <row r="13509" spans="1:1">
      <c r="A13509" s="22"/>
    </row>
    <row r="13510" spans="1:1">
      <c r="A13510" s="22"/>
    </row>
    <row r="13511" spans="1:1">
      <c r="A13511" s="22"/>
    </row>
    <row r="13512" spans="1:1">
      <c r="A13512" s="22"/>
    </row>
    <row r="13513" spans="1:1">
      <c r="A13513" s="22"/>
    </row>
    <row r="13514" spans="1:1">
      <c r="A13514" s="22"/>
    </row>
    <row r="13515" spans="1:1">
      <c r="A13515" s="22"/>
    </row>
    <row r="13516" spans="1:1">
      <c r="A13516" s="22"/>
    </row>
    <row r="13517" spans="1:1">
      <c r="A13517" s="22"/>
    </row>
    <row r="13518" spans="1:1">
      <c r="A13518" s="22"/>
    </row>
    <row r="13519" spans="1:1">
      <c r="A13519" s="22"/>
    </row>
    <row r="13520" spans="1:1">
      <c r="A13520" s="22"/>
    </row>
    <row r="13521" spans="1:1">
      <c r="A13521" s="22"/>
    </row>
    <row r="13522" spans="1:1">
      <c r="A13522" s="22"/>
    </row>
    <row r="13523" spans="1:1">
      <c r="A13523" s="22"/>
    </row>
    <row r="13524" spans="1:1">
      <c r="A13524" s="22"/>
    </row>
    <row r="13525" spans="1:1">
      <c r="A13525" s="22"/>
    </row>
    <row r="13526" spans="1:1">
      <c r="A13526" s="22"/>
    </row>
    <row r="13527" spans="1:1">
      <c r="A13527" s="22"/>
    </row>
    <row r="13528" spans="1:1">
      <c r="A13528" s="22"/>
    </row>
    <row r="13529" spans="1:1">
      <c r="A13529" s="22"/>
    </row>
    <row r="13530" spans="1:1">
      <c r="A13530" s="22"/>
    </row>
    <row r="13531" spans="1:1">
      <c r="A13531" s="22"/>
    </row>
    <row r="13532" spans="1:1">
      <c r="A13532" s="22"/>
    </row>
    <row r="13533" spans="1:1">
      <c r="A13533" s="22"/>
    </row>
    <row r="13534" spans="1:1">
      <c r="A13534" s="22"/>
    </row>
    <row r="13535" spans="1:1">
      <c r="A13535" s="22"/>
    </row>
    <row r="13536" spans="1:1">
      <c r="A13536" s="22"/>
    </row>
    <row r="13537" spans="1:1">
      <c r="A13537" s="22"/>
    </row>
    <row r="13538" spans="1:1">
      <c r="A13538" s="22"/>
    </row>
    <row r="13539" spans="1:1">
      <c r="A13539" s="22"/>
    </row>
    <row r="13540" spans="1:1">
      <c r="A13540" s="22"/>
    </row>
    <row r="13541" spans="1:1">
      <c r="A13541" s="22"/>
    </row>
    <row r="13542" spans="1:1">
      <c r="A13542" s="22"/>
    </row>
    <row r="13543" spans="1:1">
      <c r="A13543" s="22"/>
    </row>
    <row r="13544" spans="1:1">
      <c r="A13544" s="22"/>
    </row>
    <row r="13545" spans="1:1">
      <c r="A13545" s="22"/>
    </row>
    <row r="13546" spans="1:1">
      <c r="A13546" s="22"/>
    </row>
    <row r="13547" spans="1:1">
      <c r="A13547" s="22"/>
    </row>
    <row r="13548" spans="1:1">
      <c r="A13548" s="22"/>
    </row>
    <row r="13549" spans="1:1">
      <c r="A13549" s="22"/>
    </row>
    <row r="13550" spans="1:1">
      <c r="A13550" s="22"/>
    </row>
    <row r="13551" spans="1:1">
      <c r="A13551" s="22"/>
    </row>
    <row r="13552" spans="1:1">
      <c r="A13552" s="22"/>
    </row>
    <row r="13553" spans="1:1">
      <c r="A13553" s="22"/>
    </row>
    <row r="13554" spans="1:1">
      <c r="A13554" s="22"/>
    </row>
    <row r="13555" spans="1:1">
      <c r="A13555" s="22"/>
    </row>
    <row r="13556" spans="1:1">
      <c r="A13556" s="22"/>
    </row>
    <row r="13557" spans="1:1">
      <c r="A13557" s="22"/>
    </row>
    <row r="13558" spans="1:1">
      <c r="A13558" s="22"/>
    </row>
    <row r="13559" spans="1:1">
      <c r="A13559" s="22"/>
    </row>
    <row r="13560" spans="1:1">
      <c r="A13560" s="22"/>
    </row>
    <row r="13561" spans="1:1">
      <c r="A13561" s="22"/>
    </row>
    <row r="13562" spans="1:1">
      <c r="A13562" s="22"/>
    </row>
    <row r="13563" spans="1:1">
      <c r="A13563" s="22"/>
    </row>
    <row r="13564" spans="1:1">
      <c r="A13564" s="22"/>
    </row>
    <row r="13565" spans="1:1">
      <c r="A13565" s="22"/>
    </row>
    <row r="13566" spans="1:1">
      <c r="A13566" s="22"/>
    </row>
    <row r="13567" spans="1:1">
      <c r="A13567" s="22"/>
    </row>
    <row r="13568" spans="1:1">
      <c r="A13568" s="22"/>
    </row>
    <row r="13569" spans="1:1">
      <c r="A13569" s="22"/>
    </row>
    <row r="13570" spans="1:1">
      <c r="A13570" s="22"/>
    </row>
    <row r="13571" spans="1:1">
      <c r="A13571" s="22"/>
    </row>
    <row r="13572" spans="1:1">
      <c r="A13572" s="22"/>
    </row>
    <row r="13573" spans="1:1">
      <c r="A13573" s="22"/>
    </row>
    <row r="13574" spans="1:1">
      <c r="A13574" s="22"/>
    </row>
    <row r="13575" spans="1:1">
      <c r="A13575" s="22"/>
    </row>
    <row r="13576" spans="1:1">
      <c r="A13576" s="22"/>
    </row>
    <row r="13577" spans="1:1">
      <c r="A13577" s="22"/>
    </row>
    <row r="13578" spans="1:1">
      <c r="A13578" s="22"/>
    </row>
    <row r="13579" spans="1:1">
      <c r="A13579" s="22"/>
    </row>
    <row r="13580" spans="1:1">
      <c r="A13580" s="22"/>
    </row>
    <row r="13581" spans="1:1">
      <c r="A13581" s="22"/>
    </row>
    <row r="13582" spans="1:1">
      <c r="A13582" s="22"/>
    </row>
    <row r="13583" spans="1:1">
      <c r="A13583" s="22"/>
    </row>
    <row r="13584" spans="1:1">
      <c r="A13584" s="22"/>
    </row>
    <row r="13585" spans="1:1">
      <c r="A13585" s="22"/>
    </row>
    <row r="13586" spans="1:1">
      <c r="A13586" s="22"/>
    </row>
    <row r="13587" spans="1:1">
      <c r="A13587" s="22"/>
    </row>
    <row r="13588" spans="1:1">
      <c r="A13588" s="22"/>
    </row>
    <row r="13589" spans="1:1">
      <c r="A13589" s="22"/>
    </row>
    <row r="13590" spans="1:1">
      <c r="A13590" s="22"/>
    </row>
    <row r="13591" spans="1:1">
      <c r="A13591" s="22"/>
    </row>
    <row r="13592" spans="1:1">
      <c r="A13592" s="22"/>
    </row>
    <row r="13593" spans="1:1">
      <c r="A13593" s="22"/>
    </row>
    <row r="13594" spans="1:1">
      <c r="A13594" s="22"/>
    </row>
    <row r="13595" spans="1:1">
      <c r="A13595" s="22"/>
    </row>
    <row r="13596" spans="1:1">
      <c r="A13596" s="22"/>
    </row>
    <row r="13597" spans="1:1">
      <c r="A13597" s="22"/>
    </row>
    <row r="13598" spans="1:1">
      <c r="A13598" s="22"/>
    </row>
    <row r="13599" spans="1:1">
      <c r="A13599" s="22"/>
    </row>
    <row r="13600" spans="1:1">
      <c r="A13600" s="22"/>
    </row>
    <row r="13601" spans="1:1">
      <c r="A13601" s="22"/>
    </row>
    <row r="13602" spans="1:1">
      <c r="A13602" s="22"/>
    </row>
    <row r="13603" spans="1:1">
      <c r="A13603" s="22"/>
    </row>
    <row r="13604" spans="1:1">
      <c r="A13604" s="22"/>
    </row>
    <row r="13605" spans="1:1">
      <c r="A13605" s="22"/>
    </row>
    <row r="13606" spans="1:1">
      <c r="A13606" s="22"/>
    </row>
    <row r="13607" spans="1:1">
      <c r="A13607" s="22"/>
    </row>
    <row r="13608" spans="1:1">
      <c r="A13608" s="22"/>
    </row>
    <row r="13609" spans="1:1">
      <c r="A13609" s="22"/>
    </row>
    <row r="13610" spans="1:1">
      <c r="A13610" s="22"/>
    </row>
    <row r="13611" spans="1:1">
      <c r="A13611" s="22"/>
    </row>
    <row r="13612" spans="1:1">
      <c r="A13612" s="22"/>
    </row>
    <row r="13613" spans="1:1">
      <c r="A13613" s="22"/>
    </row>
    <row r="13614" spans="1:1">
      <c r="A13614" s="22"/>
    </row>
    <row r="13615" spans="1:1">
      <c r="A13615" s="22"/>
    </row>
    <row r="13616" spans="1:1">
      <c r="A13616" s="22"/>
    </row>
    <row r="13617" spans="1:1">
      <c r="A13617" s="22"/>
    </row>
    <row r="13618" spans="1:1">
      <c r="A13618" s="22"/>
    </row>
    <row r="13619" spans="1:1">
      <c r="A13619" s="22"/>
    </row>
    <row r="13620" spans="1:1">
      <c r="A13620" s="22"/>
    </row>
    <row r="13621" spans="1:1">
      <c r="A13621" s="22"/>
    </row>
    <row r="13622" spans="1:1">
      <c r="A13622" s="22"/>
    </row>
    <row r="13623" spans="1:1">
      <c r="A13623" s="22"/>
    </row>
    <row r="13624" spans="1:1">
      <c r="A13624" s="22"/>
    </row>
    <row r="13625" spans="1:1">
      <c r="A13625" s="22"/>
    </row>
    <row r="13626" spans="1:1">
      <c r="A13626" s="22"/>
    </row>
    <row r="13627" spans="1:1">
      <c r="A13627" s="22"/>
    </row>
    <row r="13628" spans="1:1">
      <c r="A13628" s="22"/>
    </row>
    <row r="13629" spans="1:1">
      <c r="A13629" s="22"/>
    </row>
    <row r="13630" spans="1:1">
      <c r="A13630" s="22"/>
    </row>
    <row r="13631" spans="1:1">
      <c r="A13631" s="22"/>
    </row>
    <row r="13632" spans="1:1">
      <c r="A13632" s="22"/>
    </row>
    <row r="13633" spans="1:1">
      <c r="A13633" s="22"/>
    </row>
    <row r="13634" spans="1:1">
      <c r="A13634" s="22"/>
    </row>
    <row r="13635" spans="1:1">
      <c r="A13635" s="22"/>
    </row>
    <row r="13636" spans="1:1">
      <c r="A13636" s="22"/>
    </row>
    <row r="13637" spans="1:1">
      <c r="A13637" s="22"/>
    </row>
    <row r="13638" spans="1:1">
      <c r="A13638" s="22"/>
    </row>
    <row r="13639" spans="1:1">
      <c r="A13639" s="22"/>
    </row>
    <row r="13640" spans="1:1">
      <c r="A13640" s="22"/>
    </row>
    <row r="13641" spans="1:1">
      <c r="A13641" s="22"/>
    </row>
    <row r="13642" spans="1:1">
      <c r="A13642" s="22"/>
    </row>
    <row r="13643" spans="1:1">
      <c r="A13643" s="22"/>
    </row>
    <row r="13644" spans="1:1">
      <c r="A13644" s="22"/>
    </row>
    <row r="13645" spans="1:1">
      <c r="A13645" s="22"/>
    </row>
    <row r="13646" spans="1:1">
      <c r="A13646" s="22"/>
    </row>
    <row r="13647" spans="1:1">
      <c r="A13647" s="22"/>
    </row>
    <row r="13648" spans="1:1">
      <c r="A13648" s="22"/>
    </row>
    <row r="13649" spans="1:1">
      <c r="A13649" s="22"/>
    </row>
    <row r="13650" spans="1:1">
      <c r="A13650" s="22"/>
    </row>
    <row r="13651" spans="1:1">
      <c r="A13651" s="22"/>
    </row>
    <row r="13652" spans="1:1">
      <c r="A13652" s="22"/>
    </row>
    <row r="13653" spans="1:1">
      <c r="A13653" s="22"/>
    </row>
    <row r="13654" spans="1:1">
      <c r="A13654" s="22"/>
    </row>
    <row r="13655" spans="1:1">
      <c r="A13655" s="22"/>
    </row>
    <row r="13656" spans="1:1">
      <c r="A13656" s="22"/>
    </row>
    <row r="13657" spans="1:1">
      <c r="A13657" s="22"/>
    </row>
    <row r="13658" spans="1:1">
      <c r="A13658" s="22"/>
    </row>
    <row r="13659" spans="1:1">
      <c r="A13659" s="22"/>
    </row>
    <row r="13660" spans="1:1">
      <c r="A13660" s="22"/>
    </row>
    <row r="13661" spans="1:1">
      <c r="A13661" s="22"/>
    </row>
    <row r="13662" spans="1:1">
      <c r="A13662" s="22"/>
    </row>
    <row r="13663" spans="1:1">
      <c r="A13663" s="22"/>
    </row>
    <row r="13664" spans="1:1">
      <c r="A13664" s="22"/>
    </row>
    <row r="13665" spans="1:1">
      <c r="A13665" s="22"/>
    </row>
    <row r="13666" spans="1:1">
      <c r="A13666" s="22"/>
    </row>
    <row r="13667" spans="1:1">
      <c r="A13667" s="22"/>
    </row>
    <row r="13668" spans="1:1">
      <c r="A13668" s="22"/>
    </row>
    <row r="13669" spans="1:1">
      <c r="A13669" s="22"/>
    </row>
    <row r="13670" spans="1:1">
      <c r="A13670" s="22"/>
    </row>
    <row r="13671" spans="1:1">
      <c r="A13671" s="22"/>
    </row>
    <row r="13672" spans="1:1">
      <c r="A13672" s="22"/>
    </row>
    <row r="13673" spans="1:1">
      <c r="A13673" s="22"/>
    </row>
    <row r="13674" spans="1:1">
      <c r="A13674" s="22"/>
    </row>
    <row r="13675" spans="1:1">
      <c r="A13675" s="22"/>
    </row>
    <row r="13676" spans="1:1">
      <c r="A13676" s="22"/>
    </row>
    <row r="13677" spans="1:1">
      <c r="A13677" s="22"/>
    </row>
    <row r="13678" spans="1:1">
      <c r="A13678" s="22"/>
    </row>
    <row r="13679" spans="1:1">
      <c r="A13679" s="22"/>
    </row>
    <row r="13680" spans="1:1">
      <c r="A13680" s="22"/>
    </row>
    <row r="13681" spans="1:1">
      <c r="A13681" s="22"/>
    </row>
    <row r="13682" spans="1:1">
      <c r="A13682" s="22"/>
    </row>
    <row r="13683" spans="1:1">
      <c r="A13683" s="22"/>
    </row>
    <row r="13684" spans="1:1">
      <c r="A13684" s="22"/>
    </row>
    <row r="13685" spans="1:1">
      <c r="A13685" s="22"/>
    </row>
    <row r="13686" spans="1:1">
      <c r="A13686" s="22"/>
    </row>
    <row r="13687" spans="1:1">
      <c r="A13687" s="22"/>
    </row>
    <row r="13688" spans="1:1">
      <c r="A13688" s="22"/>
    </row>
    <row r="13689" spans="1:1">
      <c r="A13689" s="22"/>
    </row>
    <row r="13690" spans="1:1">
      <c r="A13690" s="22"/>
    </row>
    <row r="13691" spans="1:1">
      <c r="A13691" s="22"/>
    </row>
    <row r="13692" spans="1:1">
      <c r="A13692" s="22"/>
    </row>
    <row r="13693" spans="1:1">
      <c r="A13693" s="22"/>
    </row>
    <row r="13694" spans="1:1">
      <c r="A13694" s="22"/>
    </row>
    <row r="13695" spans="1:1">
      <c r="A13695" s="22"/>
    </row>
    <row r="13696" spans="1:1">
      <c r="A13696" s="22"/>
    </row>
    <row r="13697" spans="1:1">
      <c r="A13697" s="22"/>
    </row>
    <row r="13698" spans="1:1">
      <c r="A13698" s="22"/>
    </row>
    <row r="13699" spans="1:1">
      <c r="A13699" s="22"/>
    </row>
    <row r="13700" spans="1:1">
      <c r="A13700" s="22"/>
    </row>
    <row r="13701" spans="1:1">
      <c r="A13701" s="22"/>
    </row>
    <row r="13702" spans="1:1">
      <c r="A13702" s="22"/>
    </row>
    <row r="13703" spans="1:1">
      <c r="A13703" s="22"/>
    </row>
    <row r="13704" spans="1:1">
      <c r="A13704" s="22"/>
    </row>
    <row r="13705" spans="1:1">
      <c r="A13705" s="22"/>
    </row>
    <row r="13706" spans="1:1">
      <c r="A13706" s="22"/>
    </row>
    <row r="13707" spans="1:1">
      <c r="A13707" s="22"/>
    </row>
    <row r="13708" spans="1:1">
      <c r="A13708" s="22"/>
    </row>
    <row r="13709" spans="1:1">
      <c r="A13709" s="22"/>
    </row>
    <row r="13710" spans="1:1">
      <c r="A13710" s="22"/>
    </row>
    <row r="13711" spans="1:1">
      <c r="A13711" s="22"/>
    </row>
    <row r="13712" spans="1:1">
      <c r="A13712" s="22"/>
    </row>
    <row r="13713" spans="1:1">
      <c r="A13713" s="22"/>
    </row>
    <row r="13714" spans="1:1">
      <c r="A13714" s="22"/>
    </row>
    <row r="13715" spans="1:1">
      <c r="A13715" s="22"/>
    </row>
    <row r="13716" spans="1:1">
      <c r="A13716" s="22"/>
    </row>
    <row r="13717" spans="1:1">
      <c r="A13717" s="22"/>
    </row>
    <row r="13718" spans="1:1">
      <c r="A13718" s="22"/>
    </row>
    <row r="13719" spans="1:1">
      <c r="A13719" s="22"/>
    </row>
    <row r="13720" spans="1:1">
      <c r="A13720" s="22"/>
    </row>
    <row r="13721" spans="1:1">
      <c r="A13721" s="22"/>
    </row>
    <row r="13722" spans="1:1">
      <c r="A13722" s="22"/>
    </row>
    <row r="13723" spans="1:1">
      <c r="A13723" s="22"/>
    </row>
    <row r="13724" spans="1:1">
      <c r="A13724" s="22"/>
    </row>
    <row r="13725" spans="1:1">
      <c r="A13725" s="22"/>
    </row>
    <row r="13726" spans="1:1">
      <c r="A13726" s="22"/>
    </row>
    <row r="13727" spans="1:1">
      <c r="A13727" s="22"/>
    </row>
    <row r="13728" spans="1:1">
      <c r="A13728" s="22"/>
    </row>
    <row r="13729" spans="1:1">
      <c r="A13729" s="22"/>
    </row>
    <row r="13730" spans="1:1">
      <c r="A13730" s="22"/>
    </row>
    <row r="13731" spans="1:1">
      <c r="A13731" s="22"/>
    </row>
    <row r="13732" spans="1:1">
      <c r="A13732" s="22"/>
    </row>
    <row r="13733" spans="1:1">
      <c r="A13733" s="22"/>
    </row>
    <row r="13734" spans="1:1">
      <c r="A13734" s="22"/>
    </row>
    <row r="13735" spans="1:1">
      <c r="A13735" s="22"/>
    </row>
    <row r="13736" spans="1:1">
      <c r="A13736" s="22"/>
    </row>
    <row r="13737" spans="1:1">
      <c r="A13737" s="22"/>
    </row>
    <row r="13738" spans="1:1">
      <c r="A13738" s="22"/>
    </row>
    <row r="13739" spans="1:1">
      <c r="A13739" s="22"/>
    </row>
    <row r="13740" spans="1:1">
      <c r="A13740" s="22"/>
    </row>
    <row r="13741" spans="1:1">
      <c r="A13741" s="22"/>
    </row>
    <row r="13742" spans="1:1">
      <c r="A13742" s="22"/>
    </row>
    <row r="13743" spans="1:1">
      <c r="A13743" s="22"/>
    </row>
    <row r="13744" spans="1:1">
      <c r="A13744" s="22"/>
    </row>
    <row r="13745" spans="1:1">
      <c r="A13745" s="22"/>
    </row>
    <row r="13746" spans="1:1">
      <c r="A13746" s="22"/>
    </row>
    <row r="13747" spans="1:1">
      <c r="A13747" s="22"/>
    </row>
    <row r="13748" spans="1:1">
      <c r="A13748" s="22"/>
    </row>
    <row r="13749" spans="1:1">
      <c r="A13749" s="22"/>
    </row>
    <row r="13750" spans="1:1">
      <c r="A13750" s="22"/>
    </row>
    <row r="13751" spans="1:1">
      <c r="A13751" s="22"/>
    </row>
    <row r="13752" spans="1:1">
      <c r="A13752" s="22"/>
    </row>
    <row r="13753" spans="1:1">
      <c r="A13753" s="22"/>
    </row>
    <row r="13754" spans="1:1">
      <c r="A13754" s="22"/>
    </row>
    <row r="13755" spans="1:1">
      <c r="A13755" s="22"/>
    </row>
    <row r="13756" spans="1:1">
      <c r="A13756" s="22"/>
    </row>
    <row r="13757" spans="1:1">
      <c r="A13757" s="22"/>
    </row>
    <row r="13758" spans="1:1">
      <c r="A13758" s="22"/>
    </row>
    <row r="13759" spans="1:1">
      <c r="A13759" s="22"/>
    </row>
    <row r="13760" spans="1:1">
      <c r="A13760" s="22"/>
    </row>
    <row r="13761" spans="1:1">
      <c r="A13761" s="22"/>
    </row>
    <row r="13762" spans="1:1">
      <c r="A13762" s="22"/>
    </row>
    <row r="13763" spans="1:1">
      <c r="A13763" s="22"/>
    </row>
    <row r="13764" spans="1:1">
      <c r="A13764" s="22"/>
    </row>
    <row r="13765" spans="1:1">
      <c r="A13765" s="22"/>
    </row>
    <row r="13766" spans="1:1">
      <c r="A13766" s="22"/>
    </row>
    <row r="13767" spans="1:1">
      <c r="A13767" s="22"/>
    </row>
    <row r="13768" spans="1:1">
      <c r="A13768" s="22"/>
    </row>
    <row r="13769" spans="1:1">
      <c r="A13769" s="22"/>
    </row>
    <row r="13770" spans="1:1">
      <c r="A13770" s="22"/>
    </row>
    <row r="13771" spans="1:1">
      <c r="A13771" s="22"/>
    </row>
    <row r="13772" spans="1:1">
      <c r="A13772" s="22"/>
    </row>
    <row r="13773" spans="1:1">
      <c r="A13773" s="22"/>
    </row>
    <row r="13774" spans="1:1">
      <c r="A13774" s="22"/>
    </row>
    <row r="13775" spans="1:1">
      <c r="A13775" s="22"/>
    </row>
    <row r="13776" spans="1:1">
      <c r="A13776" s="22"/>
    </row>
    <row r="13777" spans="1:1">
      <c r="A13777" s="22"/>
    </row>
    <row r="13778" spans="1:1">
      <c r="A13778" s="22"/>
    </row>
    <row r="13779" spans="1:1">
      <c r="A13779" s="22"/>
    </row>
    <row r="13780" spans="1:1">
      <c r="A13780" s="22"/>
    </row>
    <row r="13781" spans="1:1">
      <c r="A13781" s="22"/>
    </row>
    <row r="13782" spans="1:1">
      <c r="A13782" s="22"/>
    </row>
    <row r="13783" spans="1:1">
      <c r="A13783" s="22"/>
    </row>
    <row r="13784" spans="1:1">
      <c r="A13784" s="22"/>
    </row>
    <row r="13785" spans="1:1">
      <c r="A13785" s="22"/>
    </row>
    <row r="13786" spans="1:1">
      <c r="A13786" s="22"/>
    </row>
    <row r="13787" spans="1:1">
      <c r="A13787" s="22"/>
    </row>
    <row r="13788" spans="1:1">
      <c r="A13788" s="22"/>
    </row>
    <row r="13789" spans="1:1">
      <c r="A13789" s="22"/>
    </row>
    <row r="13790" spans="1:1">
      <c r="A13790" s="22"/>
    </row>
    <row r="13791" spans="1:1">
      <c r="A13791" s="22"/>
    </row>
    <row r="13792" spans="1:1">
      <c r="A13792" s="22"/>
    </row>
    <row r="13793" spans="1:1">
      <c r="A13793" s="22"/>
    </row>
    <row r="13794" spans="1:1">
      <c r="A13794" s="22"/>
    </row>
    <row r="13795" spans="1:1">
      <c r="A13795" s="22"/>
    </row>
    <row r="13796" spans="1:1">
      <c r="A13796" s="22"/>
    </row>
    <row r="13797" spans="1:1">
      <c r="A13797" s="22"/>
    </row>
    <row r="13798" spans="1:1">
      <c r="A13798" s="22"/>
    </row>
    <row r="13799" spans="1:1">
      <c r="A13799" s="22"/>
    </row>
    <row r="13800" spans="1:1">
      <c r="A13800" s="22"/>
    </row>
    <row r="13801" spans="1:1">
      <c r="A13801" s="22"/>
    </row>
    <row r="13802" spans="1:1">
      <c r="A13802" s="22"/>
    </row>
    <row r="13803" spans="1:1">
      <c r="A13803" s="22"/>
    </row>
    <row r="13804" spans="1:1">
      <c r="A13804" s="22"/>
    </row>
    <row r="13805" spans="1:1">
      <c r="A13805" s="22"/>
    </row>
    <row r="13806" spans="1:1">
      <c r="A13806" s="22"/>
    </row>
    <row r="13807" spans="1:1">
      <c r="A13807" s="22"/>
    </row>
    <row r="13808" spans="1:1">
      <c r="A13808" s="22"/>
    </row>
    <row r="13809" spans="1:1">
      <c r="A13809" s="22"/>
    </row>
    <row r="13810" spans="1:1">
      <c r="A13810" s="22"/>
    </row>
    <row r="13811" spans="1:1">
      <c r="A13811" s="22"/>
    </row>
    <row r="13812" spans="1:1">
      <c r="A13812" s="22"/>
    </row>
    <row r="13813" spans="1:1">
      <c r="A13813" s="22"/>
    </row>
    <row r="13814" spans="1:1">
      <c r="A13814" s="22"/>
    </row>
    <row r="13815" spans="1:1">
      <c r="A13815" s="22"/>
    </row>
    <row r="13816" spans="1:1">
      <c r="A13816" s="22"/>
    </row>
    <row r="13817" spans="1:1">
      <c r="A13817" s="22"/>
    </row>
    <row r="13818" spans="1:1">
      <c r="A13818" s="22"/>
    </row>
    <row r="13819" spans="1:1">
      <c r="A13819" s="22"/>
    </row>
    <row r="13820" spans="1:1">
      <c r="A13820" s="22"/>
    </row>
    <row r="13821" spans="1:1">
      <c r="A13821" s="22"/>
    </row>
    <row r="13822" spans="1:1">
      <c r="A13822" s="22"/>
    </row>
    <row r="13823" spans="1:1">
      <c r="A13823" s="22"/>
    </row>
    <row r="13824" spans="1:1">
      <c r="A13824" s="22"/>
    </row>
    <row r="13825" spans="1:1">
      <c r="A13825" s="22"/>
    </row>
    <row r="13826" spans="1:1">
      <c r="A13826" s="22"/>
    </row>
    <row r="13827" spans="1:1">
      <c r="A13827" s="22"/>
    </row>
    <row r="13828" spans="1:1">
      <c r="A13828" s="22"/>
    </row>
    <row r="13829" spans="1:1">
      <c r="A13829" s="22"/>
    </row>
    <row r="13830" spans="1:1">
      <c r="A13830" s="22"/>
    </row>
    <row r="13831" spans="1:1">
      <c r="A13831" s="22"/>
    </row>
    <row r="13832" spans="1:1">
      <c r="A13832" s="22"/>
    </row>
    <row r="13833" spans="1:1">
      <c r="A13833" s="22"/>
    </row>
    <row r="13834" spans="1:1">
      <c r="A13834" s="22"/>
    </row>
    <row r="13835" spans="1:1">
      <c r="A13835" s="22"/>
    </row>
    <row r="13836" spans="1:1">
      <c r="A13836" s="22"/>
    </row>
    <row r="13837" spans="1:1">
      <c r="A13837" s="22"/>
    </row>
    <row r="13838" spans="1:1">
      <c r="A13838" s="22"/>
    </row>
    <row r="13839" spans="1:1">
      <c r="A13839" s="22"/>
    </row>
    <row r="13840" spans="1:1">
      <c r="A13840" s="22"/>
    </row>
    <row r="13841" spans="1:1">
      <c r="A13841" s="22"/>
    </row>
    <row r="13842" spans="1:1">
      <c r="A13842" s="22"/>
    </row>
    <row r="13843" spans="1:1">
      <c r="A13843" s="22"/>
    </row>
    <row r="13844" spans="1:1">
      <c r="A13844" s="22"/>
    </row>
    <row r="13845" spans="1:1">
      <c r="A13845" s="22"/>
    </row>
    <row r="13846" spans="1:1">
      <c r="A13846" s="22"/>
    </row>
    <row r="13847" spans="1:1">
      <c r="A13847" s="22"/>
    </row>
    <row r="13848" spans="1:1">
      <c r="A13848" s="22"/>
    </row>
    <row r="13849" spans="1:1">
      <c r="A13849" s="22"/>
    </row>
    <row r="13850" spans="1:1">
      <c r="A13850" s="22"/>
    </row>
    <row r="13851" spans="1:1">
      <c r="A13851" s="22"/>
    </row>
    <row r="13852" spans="1:1">
      <c r="A13852" s="22"/>
    </row>
    <row r="13853" spans="1:1">
      <c r="A13853" s="22"/>
    </row>
    <row r="13854" spans="1:1">
      <c r="A13854" s="22"/>
    </row>
    <row r="13855" spans="1:1">
      <c r="A13855" s="22"/>
    </row>
    <row r="13856" spans="1:1">
      <c r="A13856" s="22"/>
    </row>
    <row r="13857" spans="1:1">
      <c r="A13857" s="22"/>
    </row>
    <row r="13858" spans="1:1">
      <c r="A13858" s="22"/>
    </row>
    <row r="13859" spans="1:1">
      <c r="A13859" s="22"/>
    </row>
    <row r="13860" spans="1:1">
      <c r="A13860" s="22"/>
    </row>
    <row r="13861" spans="1:1">
      <c r="A13861" s="22"/>
    </row>
    <row r="13862" spans="1:1">
      <c r="A13862" s="22"/>
    </row>
    <row r="13863" spans="1:1">
      <c r="A13863" s="22"/>
    </row>
    <row r="13864" spans="1:1">
      <c r="A13864" s="22"/>
    </row>
    <row r="13865" spans="1:1">
      <c r="A13865" s="22"/>
    </row>
    <row r="13866" spans="1:1">
      <c r="A13866" s="22"/>
    </row>
    <row r="13867" spans="1:1">
      <c r="A13867" s="22"/>
    </row>
    <row r="13868" spans="1:1">
      <c r="A13868" s="22"/>
    </row>
    <row r="13869" spans="1:1">
      <c r="A13869" s="22"/>
    </row>
    <row r="13870" spans="1:1">
      <c r="A13870" s="22"/>
    </row>
    <row r="13871" spans="1:1">
      <c r="A13871" s="22"/>
    </row>
    <row r="13872" spans="1:1">
      <c r="A13872" s="22"/>
    </row>
    <row r="13873" spans="1:1">
      <c r="A13873" s="22"/>
    </row>
    <row r="13874" spans="1:1">
      <c r="A13874" s="22"/>
    </row>
    <row r="13875" spans="1:1">
      <c r="A13875" s="22"/>
    </row>
    <row r="13876" spans="1:1">
      <c r="A13876" s="22"/>
    </row>
    <row r="13877" spans="1:1">
      <c r="A13877" s="22"/>
    </row>
    <row r="13878" spans="1:1">
      <c r="A13878" s="22"/>
    </row>
    <row r="13879" spans="1:1">
      <c r="A13879" s="22"/>
    </row>
    <row r="13880" spans="1:1">
      <c r="A13880" s="22"/>
    </row>
    <row r="13881" spans="1:1">
      <c r="A13881" s="22"/>
    </row>
    <row r="13882" spans="1:1">
      <c r="A13882" s="22"/>
    </row>
    <row r="13883" spans="1:1">
      <c r="A13883" s="22"/>
    </row>
    <row r="13884" spans="1:1">
      <c r="A13884" s="22"/>
    </row>
    <row r="13885" spans="1:1">
      <c r="A13885" s="22"/>
    </row>
    <row r="13886" spans="1:1">
      <c r="A13886" s="22"/>
    </row>
    <row r="13887" spans="1:1">
      <c r="A13887" s="22"/>
    </row>
    <row r="13888" spans="1:1">
      <c r="A13888" s="22"/>
    </row>
    <row r="13889" spans="1:1">
      <c r="A13889" s="22"/>
    </row>
    <row r="13890" spans="1:1">
      <c r="A13890" s="22"/>
    </row>
    <row r="13891" spans="1:1">
      <c r="A13891" s="22"/>
    </row>
    <row r="13892" spans="1:1">
      <c r="A13892" s="22"/>
    </row>
    <row r="13893" spans="1:1">
      <c r="A13893" s="22"/>
    </row>
    <row r="13894" spans="1:1">
      <c r="A13894" s="22"/>
    </row>
    <row r="13895" spans="1:1">
      <c r="A13895" s="22"/>
    </row>
    <row r="13896" spans="1:1">
      <c r="A13896" s="22"/>
    </row>
    <row r="13897" spans="1:1">
      <c r="A13897" s="22"/>
    </row>
    <row r="13898" spans="1:1">
      <c r="A13898" s="22"/>
    </row>
    <row r="13899" spans="1:1">
      <c r="A13899" s="22"/>
    </row>
    <row r="13900" spans="1:1">
      <c r="A13900" s="22"/>
    </row>
    <row r="13901" spans="1:1">
      <c r="A13901" s="22"/>
    </row>
    <row r="13902" spans="1:1">
      <c r="A13902" s="22"/>
    </row>
    <row r="13903" spans="1:1">
      <c r="A13903" s="22"/>
    </row>
    <row r="13904" spans="1:1">
      <c r="A13904" s="22"/>
    </row>
    <row r="13905" spans="1:1">
      <c r="A13905" s="22"/>
    </row>
    <row r="13906" spans="1:1">
      <c r="A13906" s="22"/>
    </row>
    <row r="13907" spans="1:1">
      <c r="A13907" s="22"/>
    </row>
    <row r="13908" spans="1:1">
      <c r="A13908" s="22"/>
    </row>
    <row r="13909" spans="1:1">
      <c r="A13909" s="22"/>
    </row>
    <row r="13910" spans="1:1">
      <c r="A13910" s="22"/>
    </row>
    <row r="13911" spans="1:1">
      <c r="A13911" s="22"/>
    </row>
    <row r="13912" spans="1:1">
      <c r="A13912" s="22"/>
    </row>
    <row r="13913" spans="1:1">
      <c r="A13913" s="22"/>
    </row>
    <row r="13914" spans="1:1">
      <c r="A13914" s="22"/>
    </row>
    <row r="13915" spans="1:1">
      <c r="A13915" s="22"/>
    </row>
    <row r="13916" spans="1:1">
      <c r="A13916" s="22"/>
    </row>
    <row r="13917" spans="1:1">
      <c r="A13917" s="22"/>
    </row>
    <row r="13918" spans="1:1">
      <c r="A13918" s="22"/>
    </row>
    <row r="13919" spans="1:1">
      <c r="A13919" s="22"/>
    </row>
    <row r="13920" spans="1:1">
      <c r="A13920" s="22"/>
    </row>
    <row r="13921" spans="1:1">
      <c r="A13921" s="22"/>
    </row>
    <row r="13922" spans="1:1">
      <c r="A13922" s="22"/>
    </row>
    <row r="13923" spans="1:1">
      <c r="A13923" s="22"/>
    </row>
    <row r="13924" spans="1:1">
      <c r="A13924" s="22"/>
    </row>
    <row r="13925" spans="1:1">
      <c r="A13925" s="22"/>
    </row>
    <row r="13926" spans="1:1">
      <c r="A13926" s="22"/>
    </row>
    <row r="13927" spans="1:1">
      <c r="A13927" s="22"/>
    </row>
    <row r="13928" spans="1:1">
      <c r="A13928" s="22"/>
    </row>
    <row r="13929" spans="1:1">
      <c r="A13929" s="22"/>
    </row>
    <row r="13930" spans="1:1">
      <c r="A13930" s="22"/>
    </row>
    <row r="13931" spans="1:1">
      <c r="A13931" s="22"/>
    </row>
    <row r="13932" spans="1:1">
      <c r="A13932" s="22"/>
    </row>
    <row r="13933" spans="1:1">
      <c r="A13933" s="22"/>
    </row>
    <row r="13934" spans="1:1">
      <c r="A13934" s="22"/>
    </row>
    <row r="13935" spans="1:1">
      <c r="A13935" s="22"/>
    </row>
    <row r="13936" spans="1:1">
      <c r="A13936" s="22"/>
    </row>
    <row r="13937" spans="1:1">
      <c r="A13937" s="22"/>
    </row>
    <row r="13938" spans="1:1">
      <c r="A13938" s="22"/>
    </row>
    <row r="13939" spans="1:1">
      <c r="A13939" s="22"/>
    </row>
    <row r="13940" spans="1:1">
      <c r="A13940" s="22"/>
    </row>
    <row r="13941" spans="1:1">
      <c r="A13941" s="22"/>
    </row>
    <row r="13942" spans="1:1">
      <c r="A13942" s="22"/>
    </row>
    <row r="13943" spans="1:1">
      <c r="A13943" s="22"/>
    </row>
    <row r="13944" spans="1:1">
      <c r="A13944" s="22"/>
    </row>
    <row r="13945" spans="1:1">
      <c r="A13945" s="22"/>
    </row>
    <row r="13946" spans="1:1">
      <c r="A13946" s="22"/>
    </row>
    <row r="13947" spans="1:1">
      <c r="A13947" s="22"/>
    </row>
    <row r="13948" spans="1:1">
      <c r="A13948" s="22"/>
    </row>
    <row r="13949" spans="1:1">
      <c r="A13949" s="22"/>
    </row>
    <row r="13950" spans="1:1">
      <c r="A13950" s="22"/>
    </row>
    <row r="13951" spans="1:1">
      <c r="A13951" s="22"/>
    </row>
    <row r="13952" spans="1:1">
      <c r="A13952" s="22"/>
    </row>
    <row r="13953" spans="1:1">
      <c r="A13953" s="22"/>
    </row>
    <row r="13954" spans="1:1">
      <c r="A13954" s="22"/>
    </row>
    <row r="13955" spans="1:1">
      <c r="A13955" s="22"/>
    </row>
    <row r="13956" spans="1:1">
      <c r="A13956" s="22"/>
    </row>
    <row r="13957" spans="1:1">
      <c r="A13957" s="22"/>
    </row>
    <row r="13958" spans="1:1">
      <c r="A13958" s="22"/>
    </row>
    <row r="13959" spans="1:1">
      <c r="A13959" s="22"/>
    </row>
    <row r="13960" spans="1:1">
      <c r="A13960" s="22"/>
    </row>
    <row r="13961" spans="1:1">
      <c r="A13961" s="22"/>
    </row>
    <row r="13962" spans="1:1">
      <c r="A13962" s="22"/>
    </row>
    <row r="13963" spans="1:1">
      <c r="A13963" s="22"/>
    </row>
    <row r="13964" spans="1:1">
      <c r="A13964" s="22"/>
    </row>
    <row r="13965" spans="1:1">
      <c r="A13965" s="22"/>
    </row>
    <row r="13966" spans="1:1">
      <c r="A13966" s="22"/>
    </row>
    <row r="13967" spans="1:1">
      <c r="A13967" s="22"/>
    </row>
    <row r="13968" spans="1:1">
      <c r="A13968" s="22"/>
    </row>
    <row r="13969" spans="1:1">
      <c r="A13969" s="22"/>
    </row>
    <row r="13970" spans="1:1">
      <c r="A13970" s="22"/>
    </row>
    <row r="13971" spans="1:1">
      <c r="A13971" s="22"/>
    </row>
    <row r="13972" spans="1:1">
      <c r="A13972" s="22"/>
    </row>
    <row r="13973" spans="1:1">
      <c r="A13973" s="22"/>
    </row>
    <row r="13974" spans="1:1">
      <c r="A13974" s="22"/>
    </row>
    <row r="13975" spans="1:1">
      <c r="A13975" s="22"/>
    </row>
    <row r="13976" spans="1:1">
      <c r="A13976" s="22"/>
    </row>
    <row r="13977" spans="1:1">
      <c r="A13977" s="22"/>
    </row>
    <row r="13978" spans="1:1">
      <c r="A13978" s="22"/>
    </row>
    <row r="13979" spans="1:1">
      <c r="A13979" s="22"/>
    </row>
    <row r="13980" spans="1:1">
      <c r="A13980" s="22"/>
    </row>
    <row r="13981" spans="1:1">
      <c r="A13981" s="22"/>
    </row>
    <row r="13982" spans="1:1">
      <c r="A13982" s="22"/>
    </row>
    <row r="13983" spans="1:1">
      <c r="A13983" s="22"/>
    </row>
    <row r="13984" spans="1:1">
      <c r="A13984" s="22"/>
    </row>
    <row r="13985" spans="1:1">
      <c r="A13985" s="22"/>
    </row>
    <row r="13986" spans="1:1">
      <c r="A13986" s="22"/>
    </row>
    <row r="13987" spans="1:1">
      <c r="A13987" s="22"/>
    </row>
    <row r="13988" spans="1:1">
      <c r="A13988" s="22"/>
    </row>
    <row r="13989" spans="1:1">
      <c r="A13989" s="22"/>
    </row>
    <row r="13990" spans="1:1">
      <c r="A13990" s="22"/>
    </row>
    <row r="13991" spans="1:1">
      <c r="A13991" s="22"/>
    </row>
    <row r="13992" spans="1:1">
      <c r="A13992" s="22"/>
    </row>
    <row r="13993" spans="1:1">
      <c r="A13993" s="22"/>
    </row>
    <row r="13994" spans="1:1">
      <c r="A13994" s="22"/>
    </row>
    <row r="13995" spans="1:1">
      <c r="A13995" s="22"/>
    </row>
    <row r="13996" spans="1:1">
      <c r="A13996" s="22"/>
    </row>
    <row r="13997" spans="1:1">
      <c r="A13997" s="22"/>
    </row>
    <row r="13998" spans="1:1">
      <c r="A13998" s="22"/>
    </row>
    <row r="13999" spans="1:1">
      <c r="A13999" s="22"/>
    </row>
    <row r="14000" spans="1:1">
      <c r="A14000" s="22"/>
    </row>
    <row r="14001" spans="1:1">
      <c r="A14001" s="22"/>
    </row>
    <row r="14002" spans="1:1">
      <c r="A14002" s="22"/>
    </row>
    <row r="14003" spans="1:1">
      <c r="A14003" s="22"/>
    </row>
    <row r="14004" spans="1:1">
      <c r="A14004" s="22"/>
    </row>
    <row r="14005" spans="1:1">
      <c r="A14005" s="22"/>
    </row>
    <row r="14006" spans="1:1">
      <c r="A14006" s="22"/>
    </row>
    <row r="14007" spans="1:1">
      <c r="A14007" s="22"/>
    </row>
    <row r="14008" spans="1:1">
      <c r="A14008" s="22"/>
    </row>
    <row r="14009" spans="1:1">
      <c r="A14009" s="22"/>
    </row>
    <row r="14010" spans="1:1">
      <c r="A14010" s="22"/>
    </row>
    <row r="14011" spans="1:1">
      <c r="A14011" s="22"/>
    </row>
    <row r="14012" spans="1:1">
      <c r="A14012" s="22"/>
    </row>
    <row r="14013" spans="1:1">
      <c r="A14013" s="22"/>
    </row>
    <row r="14014" spans="1:1">
      <c r="A14014" s="22"/>
    </row>
    <row r="14015" spans="1:1">
      <c r="A14015" s="22"/>
    </row>
    <row r="14016" spans="1:1">
      <c r="A14016" s="22"/>
    </row>
    <row r="14017" spans="1:1">
      <c r="A14017" s="22"/>
    </row>
    <row r="14018" spans="1:1">
      <c r="A14018" s="22"/>
    </row>
    <row r="14019" spans="1:1">
      <c r="A14019" s="22"/>
    </row>
    <row r="14020" spans="1:1">
      <c r="A14020" s="22"/>
    </row>
    <row r="14021" spans="1:1">
      <c r="A14021" s="22"/>
    </row>
    <row r="14022" spans="1:1">
      <c r="A14022" s="22"/>
    </row>
    <row r="14023" spans="1:1">
      <c r="A14023" s="22"/>
    </row>
    <row r="14024" spans="1:1">
      <c r="A14024" s="22"/>
    </row>
    <row r="14025" spans="1:1">
      <c r="A14025" s="22"/>
    </row>
    <row r="14026" spans="1:1">
      <c r="A14026" s="22"/>
    </row>
    <row r="14027" spans="1:1">
      <c r="A14027" s="22"/>
    </row>
    <row r="14028" spans="1:1">
      <c r="A14028" s="22"/>
    </row>
    <row r="14029" spans="1:1">
      <c r="A14029" s="22"/>
    </row>
    <row r="14030" spans="1:1">
      <c r="A14030" s="22"/>
    </row>
    <row r="14031" spans="1:1">
      <c r="A14031" s="22"/>
    </row>
    <row r="14032" spans="1:1">
      <c r="A14032" s="22"/>
    </row>
    <row r="14033" spans="1:1">
      <c r="A14033" s="22"/>
    </row>
    <row r="14034" spans="1:1">
      <c r="A14034" s="22"/>
    </row>
    <row r="14035" spans="1:1">
      <c r="A14035" s="22"/>
    </row>
    <row r="14036" spans="1:1">
      <c r="A14036" s="22"/>
    </row>
    <row r="14037" spans="1:1">
      <c r="A14037" s="22"/>
    </row>
    <row r="14038" spans="1:1">
      <c r="A14038" s="22"/>
    </row>
    <row r="14039" spans="1:1">
      <c r="A14039" s="22"/>
    </row>
    <row r="14040" spans="1:1">
      <c r="A14040" s="22"/>
    </row>
    <row r="14041" spans="1:1">
      <c r="A14041" s="22"/>
    </row>
    <row r="14042" spans="1:1">
      <c r="A14042" s="22"/>
    </row>
    <row r="14043" spans="1:1">
      <c r="A14043" s="22"/>
    </row>
    <row r="14044" spans="1:1">
      <c r="A14044" s="22"/>
    </row>
    <row r="14045" spans="1:1">
      <c r="A14045" s="22"/>
    </row>
    <row r="14046" spans="1:1">
      <c r="A14046" s="22"/>
    </row>
    <row r="14047" spans="1:1">
      <c r="A14047" s="22"/>
    </row>
    <row r="14048" spans="1:1">
      <c r="A14048" s="22"/>
    </row>
    <row r="14049" spans="1:1">
      <c r="A14049" s="22"/>
    </row>
    <row r="14050" spans="1:1">
      <c r="A14050" s="22"/>
    </row>
    <row r="14051" spans="1:1">
      <c r="A14051" s="22"/>
    </row>
    <row r="14052" spans="1:1">
      <c r="A14052" s="22"/>
    </row>
    <row r="14053" spans="1:1">
      <c r="A14053" s="22"/>
    </row>
    <row r="14054" spans="1:1">
      <c r="A14054" s="22"/>
    </row>
    <row r="14055" spans="1:1">
      <c r="A14055" s="22"/>
    </row>
    <row r="14056" spans="1:1">
      <c r="A14056" s="22"/>
    </row>
    <row r="14057" spans="1:1">
      <c r="A14057" s="22"/>
    </row>
    <row r="14058" spans="1:1">
      <c r="A14058" s="22"/>
    </row>
    <row r="14059" spans="1:1">
      <c r="A14059" s="22"/>
    </row>
    <row r="14060" spans="1:1">
      <c r="A14060" s="22"/>
    </row>
    <row r="14061" spans="1:1">
      <c r="A14061" s="22"/>
    </row>
    <row r="14062" spans="1:1">
      <c r="A14062" s="22"/>
    </row>
    <row r="14063" spans="1:1">
      <c r="A14063" s="22"/>
    </row>
    <row r="14064" spans="1:1">
      <c r="A14064" s="22"/>
    </row>
    <row r="14065" spans="1:1">
      <c r="A14065" s="22"/>
    </row>
    <row r="14066" spans="1:1">
      <c r="A14066" s="22"/>
    </row>
    <row r="14067" spans="1:1">
      <c r="A14067" s="22"/>
    </row>
    <row r="14068" spans="1:1">
      <c r="A14068" s="22"/>
    </row>
    <row r="14069" spans="1:1">
      <c r="A14069" s="22"/>
    </row>
    <row r="14070" spans="1:1">
      <c r="A14070" s="22"/>
    </row>
    <row r="14071" spans="1:1">
      <c r="A14071" s="22"/>
    </row>
    <row r="14072" spans="1:1">
      <c r="A14072" s="22"/>
    </row>
    <row r="14073" spans="1:1">
      <c r="A14073" s="22"/>
    </row>
    <row r="14074" spans="1:1">
      <c r="A14074" s="22"/>
    </row>
    <row r="14075" spans="1:1">
      <c r="A14075" s="22"/>
    </row>
    <row r="14076" spans="1:1">
      <c r="A14076" s="22"/>
    </row>
    <row r="14077" spans="1:1">
      <c r="A14077" s="22"/>
    </row>
    <row r="14078" spans="1:1">
      <c r="A14078" s="22"/>
    </row>
    <row r="14079" spans="1:1">
      <c r="A14079" s="22"/>
    </row>
    <row r="14080" spans="1:1">
      <c r="A14080" s="22"/>
    </row>
    <row r="14081" spans="1:1">
      <c r="A14081" s="22"/>
    </row>
    <row r="14082" spans="1:1">
      <c r="A14082" s="22"/>
    </row>
    <row r="14083" spans="1:1">
      <c r="A14083" s="22"/>
    </row>
    <row r="14084" spans="1:1">
      <c r="A14084" s="22"/>
    </row>
    <row r="14085" spans="1:1">
      <c r="A14085" s="22"/>
    </row>
    <row r="14086" spans="1:1">
      <c r="A14086" s="22"/>
    </row>
    <row r="14087" spans="1:1">
      <c r="A14087" s="22"/>
    </row>
    <row r="14088" spans="1:1">
      <c r="A14088" s="22"/>
    </row>
    <row r="14089" spans="1:1">
      <c r="A14089" s="22"/>
    </row>
    <row r="14090" spans="1:1">
      <c r="A14090" s="22"/>
    </row>
    <row r="14091" spans="1:1">
      <c r="A14091" s="22"/>
    </row>
    <row r="14092" spans="1:1">
      <c r="A14092" s="22"/>
    </row>
    <row r="14093" spans="1:1">
      <c r="A14093" s="22"/>
    </row>
    <row r="14094" spans="1:1">
      <c r="A14094" s="22"/>
    </row>
    <row r="14095" spans="1:1">
      <c r="A14095" s="22"/>
    </row>
    <row r="14096" spans="1:1">
      <c r="A14096" s="22"/>
    </row>
    <row r="14097" spans="1:1">
      <c r="A14097" s="22"/>
    </row>
    <row r="14098" spans="1:1">
      <c r="A14098" s="22"/>
    </row>
    <row r="14099" spans="1:1">
      <c r="A14099" s="22"/>
    </row>
    <row r="14100" spans="1:1">
      <c r="A14100" s="22"/>
    </row>
    <row r="14101" spans="1:1">
      <c r="A14101" s="22"/>
    </row>
    <row r="14102" spans="1:1">
      <c r="A14102" s="22"/>
    </row>
    <row r="14103" spans="1:1">
      <c r="A14103" s="22"/>
    </row>
    <row r="14104" spans="1:1">
      <c r="A14104" s="22"/>
    </row>
    <row r="14105" spans="1:1">
      <c r="A14105" s="22"/>
    </row>
    <row r="14106" spans="1:1">
      <c r="A14106" s="22"/>
    </row>
    <row r="14107" spans="1:1">
      <c r="A14107" s="22"/>
    </row>
    <row r="14108" spans="1:1">
      <c r="A14108" s="22"/>
    </row>
    <row r="14109" spans="1:1">
      <c r="A14109" s="22"/>
    </row>
    <row r="14110" spans="1:1">
      <c r="A14110" s="22"/>
    </row>
    <row r="14111" spans="1:1">
      <c r="A14111" s="22"/>
    </row>
    <row r="14112" spans="1:1">
      <c r="A14112" s="22"/>
    </row>
    <row r="14113" spans="1:1">
      <c r="A14113" s="22"/>
    </row>
    <row r="14114" spans="1:1">
      <c r="A14114" s="22"/>
    </row>
    <row r="14115" spans="1:1">
      <c r="A14115" s="22"/>
    </row>
    <row r="14116" spans="1:1">
      <c r="A14116" s="22"/>
    </row>
    <row r="14117" spans="1:1">
      <c r="A14117" s="22"/>
    </row>
    <row r="14118" spans="1:1">
      <c r="A14118" s="22"/>
    </row>
    <row r="14119" spans="1:1">
      <c r="A14119" s="22"/>
    </row>
    <row r="14120" spans="1:1">
      <c r="A14120" s="22"/>
    </row>
    <row r="14121" spans="1:1">
      <c r="A14121" s="22"/>
    </row>
    <row r="14122" spans="1:1">
      <c r="A14122" s="22"/>
    </row>
    <row r="14123" spans="1:1">
      <c r="A14123" s="22"/>
    </row>
    <row r="14124" spans="1:1">
      <c r="A14124" s="22"/>
    </row>
    <row r="14125" spans="1:1">
      <c r="A14125" s="22"/>
    </row>
    <row r="14126" spans="1:1">
      <c r="A14126" s="22"/>
    </row>
    <row r="14127" spans="1:1">
      <c r="A14127" s="22"/>
    </row>
    <row r="14128" spans="1:1">
      <c r="A14128" s="22"/>
    </row>
    <row r="14129" spans="1:1">
      <c r="A14129" s="22"/>
    </row>
    <row r="14130" spans="1:1">
      <c r="A14130" s="22"/>
    </row>
    <row r="14131" spans="1:1">
      <c r="A14131" s="22"/>
    </row>
    <row r="14132" spans="1:1">
      <c r="A14132" s="22"/>
    </row>
    <row r="14133" spans="1:1">
      <c r="A14133" s="22"/>
    </row>
    <row r="14134" spans="1:1">
      <c r="A14134" s="22"/>
    </row>
    <row r="14135" spans="1:1">
      <c r="A14135" s="22"/>
    </row>
    <row r="14136" spans="1:1">
      <c r="A14136" s="22"/>
    </row>
    <row r="14137" spans="1:1">
      <c r="A14137" s="22"/>
    </row>
    <row r="14138" spans="1:1">
      <c r="A14138" s="22"/>
    </row>
    <row r="14139" spans="1:1">
      <c r="A14139" s="22"/>
    </row>
    <row r="14140" spans="1:1">
      <c r="A14140" s="22"/>
    </row>
    <row r="14141" spans="1:1">
      <c r="A14141" s="22"/>
    </row>
    <row r="14142" spans="1:1">
      <c r="A14142" s="22"/>
    </row>
    <row r="14143" spans="1:1">
      <c r="A14143" s="22"/>
    </row>
    <row r="14144" spans="1:1">
      <c r="A14144" s="22"/>
    </row>
    <row r="14145" spans="1:1">
      <c r="A14145" s="22"/>
    </row>
    <row r="14146" spans="1:1">
      <c r="A14146" s="22"/>
    </row>
    <row r="14147" spans="1:1">
      <c r="A14147" s="22"/>
    </row>
    <row r="14148" spans="1:1">
      <c r="A14148" s="22"/>
    </row>
    <row r="14149" spans="1:1">
      <c r="A14149" s="22"/>
    </row>
    <row r="14150" spans="1:1">
      <c r="A14150" s="22"/>
    </row>
    <row r="14151" spans="1:1">
      <c r="A14151" s="22"/>
    </row>
    <row r="14152" spans="1:1">
      <c r="A14152" s="22"/>
    </row>
    <row r="14153" spans="1:1">
      <c r="A14153" s="22"/>
    </row>
    <row r="14154" spans="1:1">
      <c r="A14154" s="22"/>
    </row>
    <row r="14155" spans="1:1">
      <c r="A14155" s="22"/>
    </row>
    <row r="14156" spans="1:1">
      <c r="A14156" s="22"/>
    </row>
    <row r="14157" spans="1:1">
      <c r="A14157" s="22"/>
    </row>
    <row r="14158" spans="1:1">
      <c r="A14158" s="22"/>
    </row>
    <row r="14159" spans="1:1">
      <c r="A14159" s="22"/>
    </row>
    <row r="14160" spans="1:1">
      <c r="A14160" s="22"/>
    </row>
    <row r="14161" spans="1:1">
      <c r="A14161" s="22"/>
    </row>
    <row r="14162" spans="1:1">
      <c r="A14162" s="22"/>
    </row>
    <row r="14163" spans="1:1">
      <c r="A14163" s="22"/>
    </row>
    <row r="14164" spans="1:1">
      <c r="A14164" s="22"/>
    </row>
    <row r="14165" spans="1:1">
      <c r="A14165" s="22"/>
    </row>
    <row r="14166" spans="1:1">
      <c r="A14166" s="22"/>
    </row>
    <row r="14167" spans="1:1">
      <c r="A14167" s="22"/>
    </row>
    <row r="14168" spans="1:1">
      <c r="A14168" s="22"/>
    </row>
    <row r="14169" spans="1:1">
      <c r="A14169" s="22"/>
    </row>
    <row r="14170" spans="1:1">
      <c r="A14170" s="22"/>
    </row>
    <row r="14171" spans="1:1">
      <c r="A14171" s="22"/>
    </row>
    <row r="14172" spans="1:1">
      <c r="A14172" s="22"/>
    </row>
    <row r="14173" spans="1:1">
      <c r="A14173" s="22"/>
    </row>
    <row r="14174" spans="1:1">
      <c r="A14174" s="22"/>
    </row>
    <row r="14175" spans="1:1">
      <c r="A14175" s="22"/>
    </row>
    <row r="14176" spans="1:1">
      <c r="A14176" s="22"/>
    </row>
    <row r="14177" spans="1:1">
      <c r="A14177" s="22"/>
    </row>
    <row r="14178" spans="1:1">
      <c r="A14178" s="22"/>
    </row>
    <row r="14179" spans="1:1">
      <c r="A14179" s="22"/>
    </row>
    <row r="14180" spans="1:1">
      <c r="A14180" s="22"/>
    </row>
    <row r="14181" spans="1:1">
      <c r="A14181" s="22"/>
    </row>
    <row r="14182" spans="1:1">
      <c r="A14182" s="22"/>
    </row>
    <row r="14183" spans="1:1">
      <c r="A14183" s="22"/>
    </row>
    <row r="14184" spans="1:1">
      <c r="A14184" s="22"/>
    </row>
    <row r="14185" spans="1:1">
      <c r="A14185" s="22"/>
    </row>
    <row r="14186" spans="1:1">
      <c r="A14186" s="22"/>
    </row>
    <row r="14187" spans="1:1">
      <c r="A14187" s="22"/>
    </row>
    <row r="14188" spans="1:1">
      <c r="A14188" s="22"/>
    </row>
    <row r="14189" spans="1:1">
      <c r="A14189" s="22"/>
    </row>
    <row r="14190" spans="1:1">
      <c r="A14190" s="22"/>
    </row>
    <row r="14191" spans="1:1">
      <c r="A14191" s="22"/>
    </row>
    <row r="14192" spans="1:1">
      <c r="A14192" s="22"/>
    </row>
    <row r="14193" spans="1:1">
      <c r="A14193" s="22"/>
    </row>
    <row r="14194" spans="1:1">
      <c r="A14194" s="22"/>
    </row>
    <row r="14195" spans="1:1">
      <c r="A14195" s="22"/>
    </row>
    <row r="14196" spans="1:1">
      <c r="A14196" s="22"/>
    </row>
    <row r="14197" spans="1:1">
      <c r="A14197" s="22"/>
    </row>
    <row r="14198" spans="1:1">
      <c r="A14198" s="22"/>
    </row>
    <row r="14199" spans="1:1">
      <c r="A14199" s="22"/>
    </row>
    <row r="14200" spans="1:1">
      <c r="A14200" s="22"/>
    </row>
    <row r="14201" spans="1:1">
      <c r="A14201" s="22"/>
    </row>
    <row r="14202" spans="1:1">
      <c r="A14202" s="22"/>
    </row>
    <row r="14203" spans="1:1">
      <c r="A14203" s="22"/>
    </row>
    <row r="14204" spans="1:1">
      <c r="A14204" s="22"/>
    </row>
    <row r="14205" spans="1:1">
      <c r="A14205" s="22"/>
    </row>
    <row r="14206" spans="1:1">
      <c r="A14206" s="22"/>
    </row>
    <row r="14207" spans="1:1">
      <c r="A14207" s="22"/>
    </row>
    <row r="14208" spans="1:1">
      <c r="A14208" s="22"/>
    </row>
    <row r="14209" spans="1:1">
      <c r="A14209" s="22"/>
    </row>
    <row r="14210" spans="1:1">
      <c r="A14210" s="22"/>
    </row>
    <row r="14211" spans="1:1">
      <c r="A14211" s="22"/>
    </row>
    <row r="14212" spans="1:1">
      <c r="A14212" s="22"/>
    </row>
    <row r="14213" spans="1:1">
      <c r="A14213" s="22"/>
    </row>
    <row r="14214" spans="1:1">
      <c r="A14214" s="22"/>
    </row>
    <row r="14215" spans="1:1">
      <c r="A14215" s="22"/>
    </row>
    <row r="14216" spans="1:1">
      <c r="A14216" s="22"/>
    </row>
    <row r="14217" spans="1:1">
      <c r="A14217" s="22"/>
    </row>
    <row r="14218" spans="1:1">
      <c r="A14218" s="22"/>
    </row>
    <row r="14219" spans="1:1">
      <c r="A14219" s="22"/>
    </row>
    <row r="14220" spans="1:1">
      <c r="A14220" s="22"/>
    </row>
    <row r="14221" spans="1:1">
      <c r="A14221" s="22"/>
    </row>
    <row r="14222" spans="1:1">
      <c r="A14222" s="22"/>
    </row>
    <row r="14223" spans="1:1">
      <c r="A14223" s="22"/>
    </row>
    <row r="14224" spans="1:1">
      <c r="A14224" s="22"/>
    </row>
    <row r="14225" spans="1:1">
      <c r="A14225" s="22"/>
    </row>
    <row r="14226" spans="1:1">
      <c r="A14226" s="22"/>
    </row>
    <row r="14227" spans="1:1">
      <c r="A14227" s="22"/>
    </row>
    <row r="14228" spans="1:1">
      <c r="A14228" s="22"/>
    </row>
    <row r="14229" spans="1:1">
      <c r="A14229" s="22"/>
    </row>
    <row r="14230" spans="1:1">
      <c r="A14230" s="22"/>
    </row>
    <row r="14231" spans="1:1">
      <c r="A14231" s="22"/>
    </row>
    <row r="14232" spans="1:1">
      <c r="A14232" s="22"/>
    </row>
    <row r="14233" spans="1:1">
      <c r="A14233" s="22"/>
    </row>
    <row r="14234" spans="1:1">
      <c r="A14234" s="22"/>
    </row>
    <row r="14235" spans="1:1">
      <c r="A14235" s="22"/>
    </row>
    <row r="14236" spans="1:1">
      <c r="A14236" s="22"/>
    </row>
    <row r="14237" spans="1:1">
      <c r="A14237" s="22"/>
    </row>
    <row r="14238" spans="1:1">
      <c r="A14238" s="22"/>
    </row>
    <row r="14239" spans="1:1">
      <c r="A14239" s="22"/>
    </row>
    <row r="14240" spans="1:1">
      <c r="A14240" s="22"/>
    </row>
    <row r="14241" spans="1:1">
      <c r="A14241" s="22"/>
    </row>
    <row r="14242" spans="1:1">
      <c r="A14242" s="22"/>
    </row>
    <row r="14243" spans="1:1">
      <c r="A14243" s="22"/>
    </row>
    <row r="14244" spans="1:1">
      <c r="A14244" s="22"/>
    </row>
    <row r="14245" spans="1:1">
      <c r="A14245" s="22"/>
    </row>
    <row r="14246" spans="1:1">
      <c r="A14246" s="22"/>
    </row>
    <row r="14247" spans="1:1">
      <c r="A14247" s="22"/>
    </row>
    <row r="14248" spans="1:1">
      <c r="A14248" s="22"/>
    </row>
    <row r="14249" spans="1:1">
      <c r="A14249" s="22"/>
    </row>
    <row r="14250" spans="1:1">
      <c r="A14250" s="22"/>
    </row>
    <row r="14251" spans="1:1">
      <c r="A14251" s="22"/>
    </row>
    <row r="14252" spans="1:1">
      <c r="A14252" s="22"/>
    </row>
    <row r="14253" spans="1:1">
      <c r="A14253" s="22"/>
    </row>
    <row r="14254" spans="1:1">
      <c r="A14254" s="22"/>
    </row>
    <row r="14255" spans="1:1">
      <c r="A14255" s="22"/>
    </row>
    <row r="14256" spans="1:1">
      <c r="A14256" s="22"/>
    </row>
    <row r="14257" spans="1:1">
      <c r="A14257" s="22"/>
    </row>
    <row r="14258" spans="1:1">
      <c r="A14258" s="22"/>
    </row>
    <row r="14259" spans="1:1">
      <c r="A14259" s="22"/>
    </row>
    <row r="14260" spans="1:1">
      <c r="A14260" s="22"/>
    </row>
    <row r="14261" spans="1:1">
      <c r="A14261" s="22"/>
    </row>
    <row r="14262" spans="1:1">
      <c r="A14262" s="22"/>
    </row>
    <row r="14263" spans="1:1">
      <c r="A14263" s="22"/>
    </row>
    <row r="14264" spans="1:1">
      <c r="A14264" s="22"/>
    </row>
    <row r="14265" spans="1:1">
      <c r="A14265" s="22"/>
    </row>
    <row r="14266" spans="1:1">
      <c r="A14266" s="22"/>
    </row>
    <row r="14267" spans="1:1">
      <c r="A14267" s="22"/>
    </row>
    <row r="14268" spans="1:1">
      <c r="A14268" s="22"/>
    </row>
    <row r="14269" spans="1:1">
      <c r="A14269" s="22"/>
    </row>
    <row r="14270" spans="1:1">
      <c r="A14270" s="22"/>
    </row>
    <row r="14271" spans="1:1">
      <c r="A14271" s="22"/>
    </row>
    <row r="14272" spans="1:1">
      <c r="A14272" s="22"/>
    </row>
    <row r="14273" spans="1:1">
      <c r="A14273" s="22"/>
    </row>
    <row r="14274" spans="1:1">
      <c r="A14274" s="22"/>
    </row>
    <row r="14275" spans="1:1">
      <c r="A14275" s="22"/>
    </row>
    <row r="14276" spans="1:1">
      <c r="A14276" s="22"/>
    </row>
    <row r="14277" spans="1:1">
      <c r="A14277" s="22"/>
    </row>
    <row r="14278" spans="1:1">
      <c r="A14278" s="22"/>
    </row>
    <row r="14279" spans="1:1">
      <c r="A14279" s="22"/>
    </row>
    <row r="14280" spans="1:1">
      <c r="A14280" s="22"/>
    </row>
    <row r="14281" spans="1:1">
      <c r="A14281" s="22"/>
    </row>
    <row r="14282" spans="1:1">
      <c r="A14282" s="22"/>
    </row>
    <row r="14283" spans="1:1">
      <c r="A14283" s="22"/>
    </row>
    <row r="14284" spans="1:1">
      <c r="A14284" s="22"/>
    </row>
    <row r="14285" spans="1:1">
      <c r="A14285" s="22"/>
    </row>
    <row r="14286" spans="1:1">
      <c r="A14286" s="22"/>
    </row>
    <row r="14287" spans="1:1">
      <c r="A14287" s="22"/>
    </row>
    <row r="14288" spans="1:1">
      <c r="A14288" s="22"/>
    </row>
    <row r="14289" spans="1:1">
      <c r="A14289" s="22"/>
    </row>
    <row r="14290" spans="1:1">
      <c r="A14290" s="22"/>
    </row>
    <row r="14291" spans="1:1">
      <c r="A14291" s="22"/>
    </row>
    <row r="14292" spans="1:1">
      <c r="A14292" s="22"/>
    </row>
    <row r="14293" spans="1:1">
      <c r="A14293" s="22"/>
    </row>
    <row r="14294" spans="1:1">
      <c r="A14294" s="22"/>
    </row>
    <row r="14295" spans="1:1">
      <c r="A14295" s="22"/>
    </row>
    <row r="14296" spans="1:1">
      <c r="A14296" s="22"/>
    </row>
    <row r="14297" spans="1:1">
      <c r="A14297" s="22"/>
    </row>
    <row r="14298" spans="1:1">
      <c r="A14298" s="22"/>
    </row>
    <row r="14299" spans="1:1">
      <c r="A14299" s="22"/>
    </row>
    <row r="14300" spans="1:1">
      <c r="A14300" s="22"/>
    </row>
    <row r="14301" spans="1:1">
      <c r="A14301" s="22"/>
    </row>
    <row r="14302" spans="1:1">
      <c r="A14302" s="22"/>
    </row>
    <row r="14303" spans="1:1">
      <c r="A14303" s="22"/>
    </row>
    <row r="14304" spans="1:1">
      <c r="A14304" s="22"/>
    </row>
    <row r="14305" spans="1:1">
      <c r="A14305" s="22"/>
    </row>
    <row r="14306" spans="1:1">
      <c r="A14306" s="22"/>
    </row>
    <row r="14307" spans="1:1">
      <c r="A14307" s="22"/>
    </row>
    <row r="14308" spans="1:1">
      <c r="A14308" s="22"/>
    </row>
    <row r="14309" spans="1:1">
      <c r="A14309" s="22"/>
    </row>
    <row r="14310" spans="1:1">
      <c r="A14310" s="22"/>
    </row>
    <row r="14311" spans="1:1">
      <c r="A14311" s="22"/>
    </row>
    <row r="14312" spans="1:1">
      <c r="A14312" s="22"/>
    </row>
    <row r="14313" spans="1:1">
      <c r="A14313" s="22"/>
    </row>
    <row r="14314" spans="1:1">
      <c r="A14314" s="22"/>
    </row>
    <row r="14315" spans="1:1">
      <c r="A14315" s="22"/>
    </row>
    <row r="14316" spans="1:1">
      <c r="A14316" s="22"/>
    </row>
    <row r="14317" spans="1:1">
      <c r="A14317" s="22"/>
    </row>
    <row r="14318" spans="1:1">
      <c r="A14318" s="22"/>
    </row>
    <row r="14319" spans="1:1">
      <c r="A14319" s="22"/>
    </row>
    <row r="14320" spans="1:1">
      <c r="A14320" s="22"/>
    </row>
    <row r="14321" spans="1:1">
      <c r="A14321" s="22"/>
    </row>
    <row r="14322" spans="1:1">
      <c r="A14322" s="22"/>
    </row>
    <row r="14323" spans="1:1">
      <c r="A14323" s="22"/>
    </row>
    <row r="14324" spans="1:1">
      <c r="A14324" s="22"/>
    </row>
    <row r="14325" spans="1:1">
      <c r="A14325" s="22"/>
    </row>
    <row r="14326" spans="1:1">
      <c r="A14326" s="22"/>
    </row>
    <row r="14327" spans="1:1">
      <c r="A14327" s="22"/>
    </row>
    <row r="14328" spans="1:1">
      <c r="A14328" s="22"/>
    </row>
    <row r="14329" spans="1:1">
      <c r="A14329" s="22"/>
    </row>
    <row r="14330" spans="1:1">
      <c r="A14330" s="22"/>
    </row>
    <row r="14331" spans="1:1">
      <c r="A14331" s="22"/>
    </row>
    <row r="14332" spans="1:1">
      <c r="A14332" s="22"/>
    </row>
    <row r="14333" spans="1:1">
      <c r="A14333" s="22"/>
    </row>
    <row r="14334" spans="1:1">
      <c r="A14334" s="22"/>
    </row>
    <row r="14335" spans="1:1">
      <c r="A14335" s="22"/>
    </row>
    <row r="14336" spans="1:1">
      <c r="A14336" s="22"/>
    </row>
    <row r="14337" spans="1:1">
      <c r="A14337" s="22"/>
    </row>
    <row r="14338" spans="1:1">
      <c r="A14338" s="22"/>
    </row>
    <row r="14339" spans="1:1">
      <c r="A14339" s="22"/>
    </row>
    <row r="14340" spans="1:1">
      <c r="A14340" s="22"/>
    </row>
    <row r="14341" spans="1:1">
      <c r="A14341" s="22"/>
    </row>
    <row r="14342" spans="1:1">
      <c r="A14342" s="22"/>
    </row>
    <row r="14343" spans="1:1">
      <c r="A14343" s="22"/>
    </row>
    <row r="14344" spans="1:1">
      <c r="A14344" s="22"/>
    </row>
    <row r="14345" spans="1:1">
      <c r="A14345" s="22"/>
    </row>
    <row r="14346" spans="1:1">
      <c r="A14346" s="22"/>
    </row>
    <row r="14347" spans="1:1">
      <c r="A14347" s="22"/>
    </row>
    <row r="14348" spans="1:1">
      <c r="A14348" s="22"/>
    </row>
    <row r="14349" spans="1:1">
      <c r="A14349" s="22"/>
    </row>
    <row r="14350" spans="1:1">
      <c r="A14350" s="22"/>
    </row>
    <row r="14351" spans="1:1">
      <c r="A14351" s="22"/>
    </row>
    <row r="14352" spans="1:1">
      <c r="A14352" s="22"/>
    </row>
    <row r="14353" spans="1:1">
      <c r="A14353" s="22"/>
    </row>
    <row r="14354" spans="1:1">
      <c r="A14354" s="22"/>
    </row>
    <row r="14355" spans="1:1">
      <c r="A14355" s="22"/>
    </row>
    <row r="14356" spans="1:1">
      <c r="A14356" s="22"/>
    </row>
    <row r="14357" spans="1:1">
      <c r="A14357" s="22"/>
    </row>
    <row r="14358" spans="1:1">
      <c r="A14358" s="22"/>
    </row>
    <row r="14359" spans="1:1">
      <c r="A14359" s="22"/>
    </row>
    <row r="14360" spans="1:1">
      <c r="A14360" s="22"/>
    </row>
    <row r="14361" spans="1:1">
      <c r="A14361" s="22"/>
    </row>
    <row r="14362" spans="1:1">
      <c r="A14362" s="22"/>
    </row>
    <row r="14363" spans="1:1">
      <c r="A14363" s="22"/>
    </row>
    <row r="14364" spans="1:1">
      <c r="A14364" s="22"/>
    </row>
    <row r="14365" spans="1:1">
      <c r="A14365" s="22"/>
    </row>
    <row r="14366" spans="1:1">
      <c r="A14366" s="22"/>
    </row>
    <row r="14367" spans="1:1">
      <c r="A14367" s="22"/>
    </row>
    <row r="14368" spans="1:1">
      <c r="A14368" s="22"/>
    </row>
    <row r="14369" spans="1:1">
      <c r="A14369" s="22"/>
    </row>
    <row r="14370" spans="1:1">
      <c r="A14370" s="22"/>
    </row>
    <row r="14371" spans="1:1">
      <c r="A14371" s="22"/>
    </row>
    <row r="14372" spans="1:1">
      <c r="A14372" s="22"/>
    </row>
    <row r="14373" spans="1:1">
      <c r="A14373" s="22"/>
    </row>
    <row r="14374" spans="1:1">
      <c r="A14374" s="22"/>
    </row>
    <row r="14375" spans="1:1">
      <c r="A14375" s="22"/>
    </row>
    <row r="14376" spans="1:1">
      <c r="A14376" s="22"/>
    </row>
    <row r="14377" spans="1:1">
      <c r="A14377" s="22"/>
    </row>
    <row r="14378" spans="1:1">
      <c r="A14378" s="22"/>
    </row>
    <row r="14379" spans="1:1">
      <c r="A14379" s="22"/>
    </row>
    <row r="14380" spans="1:1">
      <c r="A14380" s="22"/>
    </row>
    <row r="14381" spans="1:1">
      <c r="A14381" s="22"/>
    </row>
    <row r="14382" spans="1:1">
      <c r="A14382" s="22"/>
    </row>
    <row r="14383" spans="1:1">
      <c r="A14383" s="22"/>
    </row>
    <row r="14384" spans="1:1">
      <c r="A14384" s="22"/>
    </row>
    <row r="14385" spans="1:1">
      <c r="A14385" s="22"/>
    </row>
    <row r="14386" spans="1:1">
      <c r="A14386" s="22"/>
    </row>
    <row r="14387" spans="1:1">
      <c r="A14387" s="22"/>
    </row>
    <row r="14388" spans="1:1">
      <c r="A14388" s="22"/>
    </row>
    <row r="14389" spans="1:1">
      <c r="A14389" s="22"/>
    </row>
    <row r="14390" spans="1:1">
      <c r="A14390" s="22"/>
    </row>
    <row r="14391" spans="1:1">
      <c r="A14391" s="22"/>
    </row>
    <row r="14392" spans="1:1">
      <c r="A14392" s="22"/>
    </row>
    <row r="14393" spans="1:1">
      <c r="A14393" s="22"/>
    </row>
    <row r="14394" spans="1:1">
      <c r="A14394" s="22"/>
    </row>
    <row r="14395" spans="1:1">
      <c r="A14395" s="22"/>
    </row>
    <row r="14396" spans="1:1">
      <c r="A14396" s="22"/>
    </row>
    <row r="14397" spans="1:1">
      <c r="A14397" s="22"/>
    </row>
    <row r="14398" spans="1:1">
      <c r="A14398" s="22"/>
    </row>
    <row r="14399" spans="1:1">
      <c r="A14399" s="22"/>
    </row>
    <row r="14400" spans="1:1">
      <c r="A14400" s="22"/>
    </row>
    <row r="14401" spans="1:1">
      <c r="A14401" s="22"/>
    </row>
    <row r="14402" spans="1:1">
      <c r="A14402" s="22"/>
    </row>
    <row r="14403" spans="1:1">
      <c r="A14403" s="22"/>
    </row>
    <row r="14404" spans="1:1">
      <c r="A14404" s="22"/>
    </row>
    <row r="14405" spans="1:1">
      <c r="A14405" s="22"/>
    </row>
    <row r="14406" spans="1:1">
      <c r="A14406" s="22"/>
    </row>
    <row r="14407" spans="1:1">
      <c r="A14407" s="22"/>
    </row>
    <row r="14408" spans="1:1">
      <c r="A14408" s="22"/>
    </row>
    <row r="14409" spans="1:1">
      <c r="A14409" s="22"/>
    </row>
    <row r="14410" spans="1:1">
      <c r="A14410" s="22"/>
    </row>
    <row r="14411" spans="1:1">
      <c r="A14411" s="22"/>
    </row>
    <row r="14412" spans="1:1">
      <c r="A14412" s="22"/>
    </row>
    <row r="14413" spans="1:1">
      <c r="A14413" s="22"/>
    </row>
    <row r="14414" spans="1:1">
      <c r="A14414" s="22"/>
    </row>
    <row r="14415" spans="1:1">
      <c r="A14415" s="22"/>
    </row>
    <row r="14416" spans="1:1">
      <c r="A14416" s="22"/>
    </row>
    <row r="14417" spans="1:1">
      <c r="A14417" s="22"/>
    </row>
    <row r="14418" spans="1:1">
      <c r="A14418" s="22"/>
    </row>
    <row r="14419" spans="1:1">
      <c r="A14419" s="22"/>
    </row>
    <row r="14420" spans="1:1">
      <c r="A14420" s="22"/>
    </row>
    <row r="14421" spans="1:1">
      <c r="A14421" s="22"/>
    </row>
    <row r="14422" spans="1:1">
      <c r="A14422" s="22"/>
    </row>
    <row r="14423" spans="1:1">
      <c r="A14423" s="22"/>
    </row>
    <row r="14424" spans="1:1">
      <c r="A14424" s="22"/>
    </row>
    <row r="14425" spans="1:1">
      <c r="A14425" s="22"/>
    </row>
    <row r="14426" spans="1:1">
      <c r="A14426" s="22"/>
    </row>
    <row r="14427" spans="1:1">
      <c r="A14427" s="22"/>
    </row>
    <row r="14428" spans="1:1">
      <c r="A14428" s="22"/>
    </row>
    <row r="14429" spans="1:1">
      <c r="A14429" s="22"/>
    </row>
    <row r="14430" spans="1:1">
      <c r="A14430" s="22"/>
    </row>
    <row r="14431" spans="1:1">
      <c r="A14431" s="22"/>
    </row>
    <row r="14432" spans="1:1">
      <c r="A14432" s="22"/>
    </row>
    <row r="14433" spans="1:1">
      <c r="A14433" s="22"/>
    </row>
    <row r="14434" spans="1:1">
      <c r="A14434" s="22"/>
    </row>
    <row r="14435" spans="1:1">
      <c r="A14435" s="22"/>
    </row>
    <row r="14436" spans="1:1">
      <c r="A14436" s="22"/>
    </row>
    <row r="14437" spans="1:1">
      <c r="A14437" s="22"/>
    </row>
    <row r="14438" spans="1:1">
      <c r="A14438" s="22"/>
    </row>
    <row r="14439" spans="1:1">
      <c r="A14439" s="22"/>
    </row>
    <row r="14440" spans="1:1">
      <c r="A14440" s="22"/>
    </row>
    <row r="14441" spans="1:1">
      <c r="A14441" s="22"/>
    </row>
    <row r="14442" spans="1:1">
      <c r="A14442" s="22"/>
    </row>
    <row r="14443" spans="1:1">
      <c r="A14443" s="22"/>
    </row>
    <row r="14444" spans="1:1">
      <c r="A14444" s="22"/>
    </row>
    <row r="14445" spans="1:1">
      <c r="A14445" s="22"/>
    </row>
    <row r="14446" spans="1:1">
      <c r="A14446" s="22"/>
    </row>
    <row r="14447" spans="1:1">
      <c r="A14447" s="22"/>
    </row>
    <row r="14448" spans="1:1">
      <c r="A14448" s="22"/>
    </row>
    <row r="14449" spans="1:1">
      <c r="A14449" s="22"/>
    </row>
    <row r="14450" spans="1:1">
      <c r="A14450" s="22"/>
    </row>
    <row r="14451" spans="1:1">
      <c r="A14451" s="22"/>
    </row>
    <row r="14452" spans="1:1">
      <c r="A14452" s="22"/>
    </row>
    <row r="14453" spans="1:1">
      <c r="A14453" s="22"/>
    </row>
    <row r="14454" spans="1:1">
      <c r="A14454" s="22"/>
    </row>
    <row r="14455" spans="1:1">
      <c r="A14455" s="22"/>
    </row>
    <row r="14456" spans="1:1">
      <c r="A14456" s="22"/>
    </row>
    <row r="14457" spans="1:1">
      <c r="A14457" s="22"/>
    </row>
    <row r="14458" spans="1:1">
      <c r="A14458" s="22"/>
    </row>
    <row r="14459" spans="1:1">
      <c r="A14459" s="22"/>
    </row>
    <row r="14460" spans="1:1">
      <c r="A14460" s="22"/>
    </row>
    <row r="14461" spans="1:1">
      <c r="A14461" s="22"/>
    </row>
    <row r="14462" spans="1:1">
      <c r="A14462" s="22"/>
    </row>
    <row r="14463" spans="1:1">
      <c r="A14463" s="22"/>
    </row>
    <row r="14464" spans="1:1">
      <c r="A14464" s="22"/>
    </row>
    <row r="14465" spans="1:1">
      <c r="A14465" s="22"/>
    </row>
    <row r="14466" spans="1:1">
      <c r="A14466" s="22"/>
    </row>
    <row r="14467" spans="1:1">
      <c r="A14467" s="22"/>
    </row>
    <row r="14468" spans="1:1">
      <c r="A14468" s="22"/>
    </row>
    <row r="14469" spans="1:1">
      <c r="A14469" s="22"/>
    </row>
    <row r="14470" spans="1:1">
      <c r="A14470" s="22"/>
    </row>
    <row r="14471" spans="1:1">
      <c r="A14471" s="22"/>
    </row>
    <row r="14472" spans="1:1">
      <c r="A14472" s="22"/>
    </row>
    <row r="14473" spans="1:1">
      <c r="A14473" s="22"/>
    </row>
    <row r="14474" spans="1:1">
      <c r="A14474" s="22"/>
    </row>
    <row r="14475" spans="1:1">
      <c r="A14475" s="22"/>
    </row>
    <row r="14476" spans="1:1">
      <c r="A14476" s="22"/>
    </row>
    <row r="14477" spans="1:1">
      <c r="A14477" s="22"/>
    </row>
    <row r="14478" spans="1:1">
      <c r="A14478" s="22"/>
    </row>
    <row r="14479" spans="1:1">
      <c r="A14479" s="22"/>
    </row>
    <row r="14480" spans="1:1">
      <c r="A14480" s="22"/>
    </row>
    <row r="14481" spans="1:1">
      <c r="A14481" s="22"/>
    </row>
    <row r="14482" spans="1:1">
      <c r="A14482" s="22"/>
    </row>
    <row r="14483" spans="1:1">
      <c r="A14483" s="22"/>
    </row>
    <row r="14484" spans="1:1">
      <c r="A14484" s="22"/>
    </row>
    <row r="14485" spans="1:1">
      <c r="A14485" s="22"/>
    </row>
    <row r="14486" spans="1:1">
      <c r="A14486" s="22"/>
    </row>
    <row r="14487" spans="1:1">
      <c r="A14487" s="22"/>
    </row>
    <row r="14488" spans="1:1">
      <c r="A14488" s="22"/>
    </row>
    <row r="14489" spans="1:1">
      <c r="A14489" s="22"/>
    </row>
    <row r="14490" spans="1:1">
      <c r="A14490" s="22"/>
    </row>
    <row r="14491" spans="1:1">
      <c r="A14491" s="22"/>
    </row>
    <row r="14492" spans="1:1">
      <c r="A14492" s="22"/>
    </row>
    <row r="14493" spans="1:1">
      <c r="A14493" s="22"/>
    </row>
    <row r="14494" spans="1:1">
      <c r="A14494" s="22"/>
    </row>
    <row r="14495" spans="1:1">
      <c r="A14495" s="22"/>
    </row>
    <row r="14496" spans="1:1">
      <c r="A14496" s="22"/>
    </row>
    <row r="14497" spans="1:1">
      <c r="A14497" s="22"/>
    </row>
    <row r="14498" spans="1:1">
      <c r="A14498" s="22"/>
    </row>
    <row r="14499" spans="1:1">
      <c r="A14499" s="22"/>
    </row>
    <row r="14500" spans="1:1">
      <c r="A14500" s="22"/>
    </row>
    <row r="14501" spans="1:1">
      <c r="A14501" s="22"/>
    </row>
    <row r="14502" spans="1:1">
      <c r="A14502" s="22"/>
    </row>
    <row r="14503" spans="1:1">
      <c r="A14503" s="22"/>
    </row>
    <row r="14504" spans="1:1">
      <c r="A14504" s="22"/>
    </row>
    <row r="14505" spans="1:1">
      <c r="A14505" s="22"/>
    </row>
    <row r="14506" spans="1:1">
      <c r="A14506" s="22"/>
    </row>
    <row r="14507" spans="1:1">
      <c r="A14507" s="22"/>
    </row>
    <row r="14508" spans="1:1">
      <c r="A14508" s="22"/>
    </row>
    <row r="14509" spans="1:1">
      <c r="A14509" s="22"/>
    </row>
    <row r="14510" spans="1:1">
      <c r="A14510" s="22"/>
    </row>
    <row r="14511" spans="1:1">
      <c r="A14511" s="22"/>
    </row>
    <row r="14512" spans="1:1">
      <c r="A14512" s="22"/>
    </row>
    <row r="14513" spans="1:1">
      <c r="A14513" s="22"/>
    </row>
    <row r="14514" spans="1:1">
      <c r="A14514" s="22"/>
    </row>
    <row r="14515" spans="1:1">
      <c r="A14515" s="22"/>
    </row>
    <row r="14516" spans="1:1">
      <c r="A14516" s="22"/>
    </row>
    <row r="14517" spans="1:1">
      <c r="A14517" s="22"/>
    </row>
    <row r="14518" spans="1:1">
      <c r="A14518" s="22"/>
    </row>
    <row r="14519" spans="1:1">
      <c r="A14519" s="22"/>
    </row>
    <row r="14520" spans="1:1">
      <c r="A14520" s="22"/>
    </row>
    <row r="14521" spans="1:1">
      <c r="A14521" s="22"/>
    </row>
    <row r="14522" spans="1:1">
      <c r="A14522" s="22"/>
    </row>
    <row r="14523" spans="1:1">
      <c r="A14523" s="22"/>
    </row>
    <row r="14524" spans="1:1">
      <c r="A14524" s="22"/>
    </row>
    <row r="14525" spans="1:1">
      <c r="A14525" s="22"/>
    </row>
    <row r="14526" spans="1:1">
      <c r="A14526" s="22"/>
    </row>
    <row r="14527" spans="1:1">
      <c r="A14527" s="22"/>
    </row>
    <row r="14528" spans="1:1">
      <c r="A14528" s="22"/>
    </row>
    <row r="14529" spans="1:1">
      <c r="A14529" s="22"/>
    </row>
    <row r="14530" spans="1:1">
      <c r="A14530" s="22"/>
    </row>
    <row r="14531" spans="1:1">
      <c r="A14531" s="22"/>
    </row>
    <row r="14532" spans="1:1">
      <c r="A14532" s="22"/>
    </row>
    <row r="14533" spans="1:1">
      <c r="A14533" s="22"/>
    </row>
    <row r="14534" spans="1:1">
      <c r="A14534" s="22"/>
    </row>
    <row r="14535" spans="1:1">
      <c r="A14535" s="22"/>
    </row>
    <row r="14536" spans="1:1">
      <c r="A14536" s="22"/>
    </row>
    <row r="14537" spans="1:1">
      <c r="A14537" s="22"/>
    </row>
    <row r="14538" spans="1:1">
      <c r="A14538" s="22"/>
    </row>
    <row r="14539" spans="1:1">
      <c r="A14539" s="22"/>
    </row>
    <row r="14540" spans="1:1">
      <c r="A14540" s="22"/>
    </row>
    <row r="14541" spans="1:1">
      <c r="A14541" s="22"/>
    </row>
    <row r="14542" spans="1:1">
      <c r="A14542" s="22"/>
    </row>
    <row r="14543" spans="1:1">
      <c r="A14543" s="22"/>
    </row>
    <row r="14544" spans="1:1">
      <c r="A14544" s="22"/>
    </row>
    <row r="14545" spans="1:1">
      <c r="A14545" s="22"/>
    </row>
    <row r="14546" spans="1:1">
      <c r="A14546" s="22"/>
    </row>
    <row r="14547" spans="1:1">
      <c r="A14547" s="22"/>
    </row>
    <row r="14548" spans="1:1">
      <c r="A14548" s="22"/>
    </row>
    <row r="14549" spans="1:1">
      <c r="A14549" s="22"/>
    </row>
    <row r="14550" spans="1:1">
      <c r="A14550" s="22"/>
    </row>
    <row r="14551" spans="1:1">
      <c r="A14551" s="22"/>
    </row>
    <row r="14552" spans="1:1">
      <c r="A14552" s="22"/>
    </row>
    <row r="14553" spans="1:1">
      <c r="A14553" s="22"/>
    </row>
    <row r="14554" spans="1:1">
      <c r="A14554" s="22"/>
    </row>
    <row r="14555" spans="1:1">
      <c r="A14555" s="22"/>
    </row>
    <row r="14556" spans="1:1">
      <c r="A14556" s="22"/>
    </row>
    <row r="14557" spans="1:1">
      <c r="A14557" s="22"/>
    </row>
    <row r="14558" spans="1:1">
      <c r="A14558" s="22"/>
    </row>
    <row r="14559" spans="1:1">
      <c r="A14559" s="22"/>
    </row>
    <row r="14560" spans="1:1">
      <c r="A14560" s="22"/>
    </row>
    <row r="14561" spans="1:1">
      <c r="A14561" s="22"/>
    </row>
    <row r="14562" spans="1:1">
      <c r="A14562" s="22"/>
    </row>
    <row r="14563" spans="1:1">
      <c r="A14563" s="22"/>
    </row>
    <row r="14564" spans="1:1">
      <c r="A14564" s="22"/>
    </row>
    <row r="14565" spans="1:1">
      <c r="A14565" s="22"/>
    </row>
    <row r="14566" spans="1:1">
      <c r="A14566" s="22"/>
    </row>
    <row r="14567" spans="1:1">
      <c r="A14567" s="22"/>
    </row>
    <row r="14568" spans="1:1">
      <c r="A14568" s="22"/>
    </row>
    <row r="14569" spans="1:1">
      <c r="A14569" s="22"/>
    </row>
    <row r="14570" spans="1:1">
      <c r="A14570" s="22"/>
    </row>
    <row r="14571" spans="1:1">
      <c r="A14571" s="22"/>
    </row>
    <row r="14572" spans="1:1">
      <c r="A14572" s="22"/>
    </row>
    <row r="14573" spans="1:1">
      <c r="A14573" s="22"/>
    </row>
    <row r="14574" spans="1:1">
      <c r="A14574" s="22"/>
    </row>
    <row r="14575" spans="1:1">
      <c r="A14575" s="22"/>
    </row>
    <row r="14576" spans="1:1">
      <c r="A14576" s="22"/>
    </row>
    <row r="14577" spans="1:1">
      <c r="A14577" s="22"/>
    </row>
    <row r="14578" spans="1:1">
      <c r="A14578" s="22"/>
    </row>
    <row r="14579" spans="1:1">
      <c r="A14579" s="22"/>
    </row>
    <row r="14580" spans="1:1">
      <c r="A14580" s="22"/>
    </row>
    <row r="14581" spans="1:1">
      <c r="A14581" s="22"/>
    </row>
    <row r="14582" spans="1:1">
      <c r="A14582" s="22"/>
    </row>
    <row r="14583" spans="1:1">
      <c r="A14583" s="22"/>
    </row>
    <row r="14584" spans="1:1">
      <c r="A14584" s="22"/>
    </row>
    <row r="14585" spans="1:1">
      <c r="A14585" s="22"/>
    </row>
    <row r="14586" spans="1:1">
      <c r="A14586" s="22"/>
    </row>
    <row r="14587" spans="1:1">
      <c r="A14587" s="22"/>
    </row>
    <row r="14588" spans="1:1">
      <c r="A14588" s="22"/>
    </row>
    <row r="14589" spans="1:1">
      <c r="A14589" s="22"/>
    </row>
    <row r="14590" spans="1:1">
      <c r="A14590" s="22"/>
    </row>
    <row r="14591" spans="1:1">
      <c r="A14591" s="22"/>
    </row>
    <row r="14592" spans="1:1">
      <c r="A14592" s="22"/>
    </row>
    <row r="14593" spans="1:1">
      <c r="A14593" s="22"/>
    </row>
    <row r="14594" spans="1:1">
      <c r="A14594" s="22"/>
    </row>
    <row r="14595" spans="1:1">
      <c r="A14595" s="22"/>
    </row>
    <row r="14596" spans="1:1">
      <c r="A14596" s="22"/>
    </row>
    <row r="14597" spans="1:1">
      <c r="A14597" s="22"/>
    </row>
    <row r="14598" spans="1:1">
      <c r="A14598" s="22"/>
    </row>
    <row r="14599" spans="1:1">
      <c r="A14599" s="22"/>
    </row>
    <row r="14600" spans="1:1">
      <c r="A14600" s="22"/>
    </row>
    <row r="14601" spans="1:1">
      <c r="A14601" s="22"/>
    </row>
    <row r="14602" spans="1:1">
      <c r="A14602" s="22"/>
    </row>
    <row r="14603" spans="1:1">
      <c r="A14603" s="22"/>
    </row>
    <row r="14604" spans="1:1">
      <c r="A14604" s="22"/>
    </row>
    <row r="14605" spans="1:1">
      <c r="A14605" s="22"/>
    </row>
    <row r="14606" spans="1:1">
      <c r="A14606" s="22"/>
    </row>
    <row r="14607" spans="1:1">
      <c r="A14607" s="22"/>
    </row>
    <row r="14608" spans="1:1">
      <c r="A14608" s="22"/>
    </row>
    <row r="14609" spans="1:1">
      <c r="A14609" s="22"/>
    </row>
    <row r="14610" spans="1:1">
      <c r="A14610" s="22"/>
    </row>
    <row r="14611" spans="1:1">
      <c r="A14611" s="22"/>
    </row>
    <row r="14612" spans="1:1">
      <c r="A14612" s="22"/>
    </row>
    <row r="14613" spans="1:1">
      <c r="A14613" s="22"/>
    </row>
    <row r="14614" spans="1:1">
      <c r="A14614" s="22"/>
    </row>
    <row r="14615" spans="1:1">
      <c r="A14615" s="22"/>
    </row>
    <row r="14616" spans="1:1">
      <c r="A14616" s="22"/>
    </row>
    <row r="14617" spans="1:1">
      <c r="A14617" s="22"/>
    </row>
    <row r="14618" spans="1:1">
      <c r="A14618" s="22"/>
    </row>
    <row r="14619" spans="1:1">
      <c r="A14619" s="22"/>
    </row>
    <row r="14620" spans="1:1">
      <c r="A14620" s="22"/>
    </row>
    <row r="14621" spans="1:1">
      <c r="A14621" s="22"/>
    </row>
    <row r="14622" spans="1:1">
      <c r="A14622" s="22"/>
    </row>
    <row r="14623" spans="1:1">
      <c r="A14623" s="22"/>
    </row>
    <row r="14624" spans="1:1">
      <c r="A14624" s="22"/>
    </row>
    <row r="14625" spans="1:1">
      <c r="A14625" s="22"/>
    </row>
    <row r="14626" spans="1:1">
      <c r="A14626" s="22"/>
    </row>
    <row r="14627" spans="1:1">
      <c r="A14627" s="22"/>
    </row>
    <row r="14628" spans="1:1">
      <c r="A14628" s="22"/>
    </row>
    <row r="14629" spans="1:1">
      <c r="A14629" s="22"/>
    </row>
    <row r="14630" spans="1:1">
      <c r="A14630" s="22"/>
    </row>
    <row r="14631" spans="1:1">
      <c r="A14631" s="22"/>
    </row>
    <row r="14632" spans="1:1">
      <c r="A14632" s="22"/>
    </row>
    <row r="14633" spans="1:1">
      <c r="A14633" s="22"/>
    </row>
    <row r="14634" spans="1:1">
      <c r="A14634" s="22"/>
    </row>
    <row r="14635" spans="1:1">
      <c r="A14635" s="22"/>
    </row>
    <row r="14636" spans="1:1">
      <c r="A14636" s="22"/>
    </row>
    <row r="14637" spans="1:1">
      <c r="A14637" s="22"/>
    </row>
    <row r="14638" spans="1:1">
      <c r="A14638" s="22"/>
    </row>
    <row r="14639" spans="1:1">
      <c r="A14639" s="22"/>
    </row>
    <row r="14640" spans="1:1">
      <c r="A14640" s="22"/>
    </row>
    <row r="14641" spans="1:1">
      <c r="A14641" s="22"/>
    </row>
    <row r="14642" spans="1:1">
      <c r="A14642" s="22"/>
    </row>
    <row r="14643" spans="1:1">
      <c r="A14643" s="22"/>
    </row>
    <row r="14644" spans="1:1">
      <c r="A14644" s="22"/>
    </row>
    <row r="14645" spans="1:1">
      <c r="A14645" s="22"/>
    </row>
    <row r="14646" spans="1:1">
      <c r="A14646" s="22"/>
    </row>
    <row r="14647" spans="1:1">
      <c r="A14647" s="22"/>
    </row>
    <row r="14648" spans="1:1">
      <c r="A14648" s="22"/>
    </row>
    <row r="14649" spans="1:1">
      <c r="A14649" s="22"/>
    </row>
    <row r="14650" spans="1:1">
      <c r="A14650" s="22"/>
    </row>
    <row r="14651" spans="1:1">
      <c r="A14651" s="22"/>
    </row>
    <row r="14652" spans="1:1">
      <c r="A14652" s="22"/>
    </row>
    <row r="14653" spans="1:1">
      <c r="A14653" s="22"/>
    </row>
    <row r="14654" spans="1:1">
      <c r="A14654" s="22"/>
    </row>
    <row r="14655" spans="1:1">
      <c r="A14655" s="22"/>
    </row>
    <row r="14656" spans="1:1">
      <c r="A14656" s="22"/>
    </row>
    <row r="14657" spans="1:1">
      <c r="A14657" s="22"/>
    </row>
    <row r="14658" spans="1:1">
      <c r="A14658" s="22"/>
    </row>
    <row r="14659" spans="1:1">
      <c r="A14659" s="22"/>
    </row>
    <row r="14660" spans="1:1">
      <c r="A14660" s="22"/>
    </row>
    <row r="14661" spans="1:1">
      <c r="A14661" s="22"/>
    </row>
    <row r="14662" spans="1:1">
      <c r="A14662" s="22"/>
    </row>
    <row r="14663" spans="1:1">
      <c r="A14663" s="22"/>
    </row>
    <row r="14664" spans="1:1">
      <c r="A14664" s="22"/>
    </row>
    <row r="14665" spans="1:1">
      <c r="A14665" s="22"/>
    </row>
    <row r="14666" spans="1:1">
      <c r="A14666" s="22"/>
    </row>
    <row r="14667" spans="1:1">
      <c r="A14667" s="22"/>
    </row>
    <row r="14668" spans="1:1">
      <c r="A14668" s="22"/>
    </row>
    <row r="14669" spans="1:1">
      <c r="A14669" s="22"/>
    </row>
    <row r="14670" spans="1:1">
      <c r="A14670" s="22"/>
    </row>
    <row r="14671" spans="1:1">
      <c r="A14671" s="22"/>
    </row>
    <row r="14672" spans="1:1">
      <c r="A14672" s="22"/>
    </row>
    <row r="14673" spans="1:1">
      <c r="A14673" s="22"/>
    </row>
    <row r="14674" spans="1:1">
      <c r="A14674" s="22"/>
    </row>
    <row r="14675" spans="1:1">
      <c r="A14675" s="22"/>
    </row>
    <row r="14676" spans="1:1">
      <c r="A14676" s="22"/>
    </row>
    <row r="14677" spans="1:1">
      <c r="A14677" s="22"/>
    </row>
    <row r="14678" spans="1:1">
      <c r="A14678" s="22"/>
    </row>
    <row r="14679" spans="1:1">
      <c r="A14679" s="22"/>
    </row>
    <row r="14680" spans="1:1">
      <c r="A14680" s="22"/>
    </row>
    <row r="14681" spans="1:1">
      <c r="A14681" s="22"/>
    </row>
    <row r="14682" spans="1:1">
      <c r="A14682" s="22"/>
    </row>
    <row r="14683" spans="1:1">
      <c r="A14683" s="22"/>
    </row>
    <row r="14684" spans="1:1">
      <c r="A14684" s="22"/>
    </row>
    <row r="14685" spans="1:1">
      <c r="A14685" s="22"/>
    </row>
    <row r="14686" spans="1:1">
      <c r="A14686" s="22"/>
    </row>
    <row r="14687" spans="1:1">
      <c r="A14687" s="22"/>
    </row>
    <row r="14688" spans="1:1">
      <c r="A14688" s="22"/>
    </row>
    <row r="14689" spans="1:1">
      <c r="A14689" s="22"/>
    </row>
    <row r="14690" spans="1:1">
      <c r="A14690" s="22"/>
    </row>
    <row r="14691" spans="1:1">
      <c r="A14691" s="22"/>
    </row>
    <row r="14692" spans="1:1">
      <c r="A14692" s="22"/>
    </row>
    <row r="14693" spans="1:1">
      <c r="A14693" s="22"/>
    </row>
    <row r="14694" spans="1:1">
      <c r="A14694" s="22"/>
    </row>
    <row r="14695" spans="1:1">
      <c r="A14695" s="22"/>
    </row>
    <row r="14696" spans="1:1">
      <c r="A14696" s="22"/>
    </row>
    <row r="14697" spans="1:1">
      <c r="A14697" s="22"/>
    </row>
    <row r="14698" spans="1:1">
      <c r="A14698" s="22"/>
    </row>
    <row r="14699" spans="1:1">
      <c r="A14699" s="22"/>
    </row>
    <row r="14700" spans="1:1">
      <c r="A14700" s="22"/>
    </row>
    <row r="14701" spans="1:1">
      <c r="A14701" s="22"/>
    </row>
    <row r="14702" spans="1:1">
      <c r="A14702" s="22"/>
    </row>
    <row r="14703" spans="1:1">
      <c r="A14703" s="22"/>
    </row>
    <row r="14704" spans="1:1">
      <c r="A14704" s="22"/>
    </row>
    <row r="14705" spans="1:1">
      <c r="A14705" s="22"/>
    </row>
    <row r="14706" spans="1:1">
      <c r="A14706" s="22"/>
    </row>
    <row r="14707" spans="1:1">
      <c r="A14707" s="22"/>
    </row>
    <row r="14708" spans="1:1">
      <c r="A14708" s="22"/>
    </row>
    <row r="14709" spans="1:1">
      <c r="A14709" s="22"/>
    </row>
    <row r="14710" spans="1:1">
      <c r="A14710" s="22"/>
    </row>
    <row r="14711" spans="1:1">
      <c r="A14711" s="22"/>
    </row>
    <row r="14712" spans="1:1">
      <c r="A14712" s="22"/>
    </row>
    <row r="14713" spans="1:1">
      <c r="A14713" s="22"/>
    </row>
    <row r="14714" spans="1:1">
      <c r="A14714" s="22"/>
    </row>
    <row r="14715" spans="1:1">
      <c r="A14715" s="22"/>
    </row>
    <row r="14716" spans="1:1">
      <c r="A14716" s="22"/>
    </row>
    <row r="14717" spans="1:1">
      <c r="A14717" s="22"/>
    </row>
    <row r="14718" spans="1:1">
      <c r="A14718" s="22"/>
    </row>
    <row r="14719" spans="1:1">
      <c r="A14719" s="22"/>
    </row>
    <row r="14720" spans="1:1">
      <c r="A14720" s="22"/>
    </row>
    <row r="14721" spans="1:1">
      <c r="A14721" s="22"/>
    </row>
    <row r="14722" spans="1:1">
      <c r="A14722" s="22"/>
    </row>
    <row r="14723" spans="1:1">
      <c r="A14723" s="22"/>
    </row>
    <row r="14724" spans="1:1">
      <c r="A14724" s="22"/>
    </row>
    <row r="14725" spans="1:1">
      <c r="A14725" s="22"/>
    </row>
    <row r="14726" spans="1:1">
      <c r="A14726" s="22"/>
    </row>
    <row r="14727" spans="1:1">
      <c r="A14727" s="22"/>
    </row>
    <row r="14728" spans="1:1">
      <c r="A14728" s="22"/>
    </row>
    <row r="14729" spans="1:1">
      <c r="A14729" s="22"/>
    </row>
    <row r="14730" spans="1:1">
      <c r="A14730" s="22"/>
    </row>
    <row r="14731" spans="1:1">
      <c r="A14731" s="22"/>
    </row>
    <row r="14732" spans="1:1">
      <c r="A14732" s="22"/>
    </row>
    <row r="14733" spans="1:1">
      <c r="A14733" s="22"/>
    </row>
    <row r="14734" spans="1:1">
      <c r="A14734" s="22"/>
    </row>
    <row r="14735" spans="1:1">
      <c r="A14735" s="22"/>
    </row>
    <row r="14736" spans="1:1">
      <c r="A14736" s="22"/>
    </row>
    <row r="14737" spans="1:1">
      <c r="A14737" s="22"/>
    </row>
    <row r="14738" spans="1:1">
      <c r="A14738" s="22"/>
    </row>
    <row r="14739" spans="1:1">
      <c r="A14739" s="22"/>
    </row>
    <row r="14740" spans="1:1">
      <c r="A14740" s="22"/>
    </row>
    <row r="14741" spans="1:1">
      <c r="A14741" s="22"/>
    </row>
    <row r="14742" spans="1:1">
      <c r="A14742" s="22"/>
    </row>
    <row r="14743" spans="1:1">
      <c r="A14743" s="22"/>
    </row>
    <row r="14744" spans="1:1">
      <c r="A14744" s="22"/>
    </row>
  </sheetData>
  <mergeCells count="6">
    <mergeCell ref="A1:A3"/>
    <mergeCell ref="B1:B3"/>
    <mergeCell ref="C1:C3"/>
    <mergeCell ref="E1:E3"/>
    <mergeCell ref="F1:F3"/>
    <mergeCell ref="D1:D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'Ref.'!$A$55:$A$59</xm:f>
          </x14:formula1>
          <xm:sqref>E4:E14744</xm:sqref>
        </x14:dataValidation>
        <x14:dataValidation type="list" allowBlank="1" showInputMessage="1" showErrorMessage="1" xr:uid="{00000000-0002-0000-0A00-000001000000}">
          <x14:formula1>
            <xm:f>'Ref.'!$A$62:$A$63</xm:f>
          </x14:formula1>
          <xm:sqref>B4:B14744</xm:sqref>
        </x14:dataValidation>
        <x14:dataValidation type="list" allowBlank="1" showInputMessage="1" showErrorMessage="1" xr:uid="{44841A36-C02C-45E2-9F31-4A77F9230DB4}">
          <x14:formula1>
            <xm:f>'Ref.'!$AH$2:$AH$4</xm:f>
          </x14:formula1>
          <xm:sqref>D4:D1060</xm:sqref>
        </x14:dataValidation>
        <x14:dataValidation type="list" allowBlank="1" showInputMessage="1" showErrorMessage="1" xr:uid="{00000000-0002-0000-0A00-000002000000}">
          <x14:formula1>
            <xm:f>'Ref.'!$A$66:$A$134</xm:f>
          </x14:formula1>
          <xm:sqref>A4:A14744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9900"/>
  </sheetPr>
  <dimension ref="A1:J4"/>
  <sheetViews>
    <sheetView workbookViewId="0">
      <pane ySplit="3" topLeftCell="A4" activePane="bottomLeft" state="frozen"/>
      <selection pane="bottomLeft" activeCell="C10" sqref="C10"/>
    </sheetView>
  </sheetViews>
  <sheetFormatPr defaultColWidth="8.90625" defaultRowHeight="14.5"/>
  <cols>
    <col min="1" max="1" width="24" style="14" customWidth="1"/>
    <col min="2" max="5" width="13.90625" style="14" customWidth="1"/>
    <col min="6" max="6" width="24.453125" style="14" customWidth="1"/>
    <col min="7" max="8" width="37.90625" style="14" customWidth="1"/>
    <col min="9" max="9" width="30.90625" style="14" customWidth="1"/>
    <col min="10" max="10" width="25.90625" style="14" customWidth="1"/>
    <col min="11" max="16384" width="8.90625" style="14"/>
  </cols>
  <sheetData>
    <row r="1" spans="1:10">
      <c r="A1" s="373" t="s">
        <v>283</v>
      </c>
      <c r="B1" s="404" t="s">
        <v>284</v>
      </c>
      <c r="C1" s="409"/>
      <c r="D1" s="409"/>
      <c r="E1" s="409"/>
      <c r="F1" s="409"/>
      <c r="G1" s="390" t="s">
        <v>285</v>
      </c>
      <c r="H1" s="179" t="s">
        <v>286</v>
      </c>
      <c r="I1" s="325" t="s">
        <v>287</v>
      </c>
      <c r="J1" s="410" t="s">
        <v>288</v>
      </c>
    </row>
    <row r="2" spans="1:10">
      <c r="A2" s="374"/>
      <c r="B2" s="405"/>
      <c r="C2" s="182"/>
      <c r="D2" s="182"/>
      <c r="E2" s="182"/>
      <c r="F2" s="182"/>
      <c r="G2" s="391"/>
      <c r="H2" s="180"/>
      <c r="I2" s="326"/>
      <c r="J2" s="414"/>
    </row>
    <row r="3" spans="1:10" ht="44" thickBot="1">
      <c r="A3" s="375"/>
      <c r="B3" s="68" t="s">
        <v>289</v>
      </c>
      <c r="C3" s="67" t="s">
        <v>290</v>
      </c>
      <c r="D3" s="67" t="s">
        <v>291</v>
      </c>
      <c r="E3" s="67" t="s">
        <v>170</v>
      </c>
      <c r="F3" s="67" t="s">
        <v>292</v>
      </c>
      <c r="G3" s="391"/>
      <c r="H3" s="180"/>
      <c r="I3" s="326"/>
      <c r="J3" s="415"/>
    </row>
    <row r="4" spans="1:10" ht="15" thickBot="1">
      <c r="A4" s="57"/>
      <c r="B4" s="52"/>
      <c r="C4" s="52"/>
      <c r="D4" s="52"/>
      <c r="E4" s="52"/>
      <c r="F4" s="53"/>
      <c r="G4" s="56"/>
      <c r="H4" s="55"/>
      <c r="I4" s="154"/>
      <c r="J4" s="54"/>
    </row>
  </sheetData>
  <mergeCells count="6">
    <mergeCell ref="A1:A3"/>
    <mergeCell ref="B1:F2"/>
    <mergeCell ref="G1:G3"/>
    <mergeCell ref="I1:I3"/>
    <mergeCell ref="J1:J3"/>
    <mergeCell ref="H1:H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E00-000000000000}">
          <x14:formula1>
            <xm:f>'Ref.'!$C$20:$C$21</xm:f>
          </x14:formula1>
          <xm:sqref>J4 B4:F4</xm:sqref>
        </x14:dataValidation>
        <x14:dataValidation type="list" allowBlank="1" showInputMessage="1" showErrorMessage="1" xr:uid="{00000000-0002-0000-0E00-000003000000}">
          <x14:formula1>
            <xm:f>'Ref.'!$J$9:$J$10</xm:f>
          </x14:formula1>
          <xm:sqref>G4</xm:sqref>
        </x14:dataValidation>
        <x14:dataValidation type="list" allowBlank="1" showInputMessage="1" showErrorMessage="1" xr:uid="{B26111DC-62D5-4D07-934D-751645062448}">
          <x14:formula1>
            <xm:f>'Ref.'!$A$66:$A$134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134"/>
  <sheetViews>
    <sheetView topLeftCell="Y1" zoomScale="106" zoomScaleNormal="106" workbookViewId="0">
      <selection activeCell="AE10" sqref="AE10"/>
    </sheetView>
  </sheetViews>
  <sheetFormatPr defaultColWidth="8.90625" defaultRowHeight="14.5"/>
  <cols>
    <col min="1" max="1" width="55" style="2" bestFit="1" customWidth="1"/>
    <col min="2" max="2" width="24.54296875" style="2" bestFit="1" customWidth="1"/>
    <col min="3" max="15" width="8.90625" style="2"/>
    <col min="16" max="25" width="20.90625" style="2" customWidth="1"/>
    <col min="26" max="26" width="8.90625" style="2"/>
    <col min="27" max="27" width="30.54296875" style="2" customWidth="1"/>
    <col min="28" max="30" width="8.90625" style="2"/>
    <col min="31" max="31" width="27.90625" style="2" customWidth="1"/>
    <col min="32" max="16384" width="8.90625" style="2"/>
  </cols>
  <sheetData>
    <row r="1" spans="1:35" ht="108" customHeight="1" thickBot="1">
      <c r="A1" s="2" t="s">
        <v>293</v>
      </c>
      <c r="B1" s="6" t="s">
        <v>294</v>
      </c>
      <c r="C1" s="2" t="s">
        <v>295</v>
      </c>
      <c r="D1" s="2" t="s">
        <v>296</v>
      </c>
      <c r="E1" s="2" t="s">
        <v>297</v>
      </c>
      <c r="F1" s="2" t="s">
        <v>298</v>
      </c>
      <c r="G1" s="2" t="s">
        <v>299</v>
      </c>
      <c r="H1" s="2" t="s">
        <v>300</v>
      </c>
      <c r="I1" s="2" t="s">
        <v>301</v>
      </c>
      <c r="J1" s="2" t="s">
        <v>302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4" t="s">
        <v>88</v>
      </c>
      <c r="Q1" s="4" t="s">
        <v>89</v>
      </c>
      <c r="R1" s="4" t="s">
        <v>90</v>
      </c>
      <c r="S1" s="4" t="s">
        <v>91</v>
      </c>
      <c r="T1" s="4" t="s">
        <v>92</v>
      </c>
      <c r="U1" s="4" t="s">
        <v>93</v>
      </c>
      <c r="V1" s="4" t="s">
        <v>94</v>
      </c>
      <c r="W1" s="4" t="s">
        <v>95</v>
      </c>
      <c r="X1" s="4" t="s">
        <v>96</v>
      </c>
      <c r="Y1" s="4" t="s">
        <v>97</v>
      </c>
      <c r="Z1" s="7" t="s">
        <v>303</v>
      </c>
      <c r="AA1" s="8" t="s">
        <v>304</v>
      </c>
      <c r="AB1" s="9" t="s">
        <v>305</v>
      </c>
      <c r="AC1" s="6" t="s">
        <v>50</v>
      </c>
      <c r="AD1" s="8" t="s">
        <v>306</v>
      </c>
      <c r="AE1" s="6" t="s">
        <v>52</v>
      </c>
    </row>
    <row r="2" spans="1:35" ht="104.4" customHeight="1">
      <c r="A2" s="2" t="s">
        <v>307</v>
      </c>
      <c r="B2" s="2" t="s">
        <v>308</v>
      </c>
      <c r="C2" s="2" t="s">
        <v>309</v>
      </c>
      <c r="D2" s="2" t="s">
        <v>310</v>
      </c>
      <c r="E2" s="2" t="s">
        <v>311</v>
      </c>
      <c r="F2" s="2" t="s">
        <v>312</v>
      </c>
      <c r="G2" s="2" t="s">
        <v>313</v>
      </c>
      <c r="H2" s="2" t="s">
        <v>311</v>
      </c>
      <c r="I2" s="2" t="s">
        <v>311</v>
      </c>
      <c r="J2" s="2" t="s">
        <v>311</v>
      </c>
      <c r="K2" s="2" t="s">
        <v>311</v>
      </c>
      <c r="L2" s="2" t="s">
        <v>311</v>
      </c>
      <c r="M2" s="2" t="s">
        <v>311</v>
      </c>
      <c r="N2" s="2" t="s">
        <v>311</v>
      </c>
      <c r="O2" s="2" t="s">
        <v>311</v>
      </c>
      <c r="P2" s="2" t="s">
        <v>314</v>
      </c>
      <c r="Q2" s="2" t="s">
        <v>314</v>
      </c>
      <c r="R2" s="2" t="s">
        <v>314</v>
      </c>
      <c r="S2" s="2" t="s">
        <v>314</v>
      </c>
      <c r="T2" s="2" t="s">
        <v>314</v>
      </c>
      <c r="U2" s="2" t="s">
        <v>314</v>
      </c>
      <c r="V2" s="2" t="s">
        <v>314</v>
      </c>
      <c r="W2" s="2" t="s">
        <v>314</v>
      </c>
      <c r="X2" s="2" t="s">
        <v>314</v>
      </c>
      <c r="Y2" s="2" t="s">
        <v>314</v>
      </c>
      <c r="Z2" s="2" t="s">
        <v>183</v>
      </c>
      <c r="AA2" s="1" t="s">
        <v>315</v>
      </c>
      <c r="AB2" s="2" t="s">
        <v>316</v>
      </c>
      <c r="AC2" s="2" t="s">
        <v>311</v>
      </c>
      <c r="AD2" s="11" t="s">
        <v>317</v>
      </c>
      <c r="AE2" s="12" t="s">
        <v>318</v>
      </c>
      <c r="AF2" s="13" t="s">
        <v>319</v>
      </c>
      <c r="AG2" s="13" t="s">
        <v>320</v>
      </c>
      <c r="AH2" s="13" t="s">
        <v>321</v>
      </c>
      <c r="AI2" s="13" t="s">
        <v>319</v>
      </c>
    </row>
    <row r="3" spans="1:35" ht="88.5" customHeight="1">
      <c r="A3" s="2" t="s">
        <v>322</v>
      </c>
      <c r="B3" s="2" t="s">
        <v>323</v>
      </c>
      <c r="C3" s="2" t="s">
        <v>324</v>
      </c>
      <c r="D3" s="2" t="s">
        <v>325</v>
      </c>
      <c r="E3" s="2" t="s">
        <v>326</v>
      </c>
      <c r="F3" s="2" t="s">
        <v>327</v>
      </c>
      <c r="G3" s="2" t="s">
        <v>328</v>
      </c>
      <c r="H3" s="2" t="s">
        <v>326</v>
      </c>
      <c r="I3" s="2" t="s">
        <v>329</v>
      </c>
      <c r="J3" s="2" t="s">
        <v>329</v>
      </c>
      <c r="K3" s="2" t="s">
        <v>329</v>
      </c>
      <c r="L3" s="2" t="s">
        <v>329</v>
      </c>
      <c r="M3" s="2" t="s">
        <v>329</v>
      </c>
      <c r="N3" s="2" t="s">
        <v>329</v>
      </c>
      <c r="O3" s="2" t="s">
        <v>329</v>
      </c>
      <c r="P3" s="2" t="s">
        <v>330</v>
      </c>
      <c r="Q3" s="2" t="s">
        <v>330</v>
      </c>
      <c r="R3" s="2" t="s">
        <v>330</v>
      </c>
      <c r="S3" s="2" t="s">
        <v>330</v>
      </c>
      <c r="T3" s="2" t="s">
        <v>330</v>
      </c>
      <c r="U3" s="2" t="s">
        <v>330</v>
      </c>
      <c r="V3" s="2" t="s">
        <v>330</v>
      </c>
      <c r="W3" s="2" t="s">
        <v>330</v>
      </c>
      <c r="X3" s="2" t="s">
        <v>330</v>
      </c>
      <c r="Y3" s="2" t="s">
        <v>330</v>
      </c>
      <c r="Z3" s="2" t="s">
        <v>327</v>
      </c>
      <c r="AA3" s="10" t="s">
        <v>331</v>
      </c>
      <c r="AB3" s="2" t="s">
        <v>332</v>
      </c>
      <c r="AC3" s="2" t="s">
        <v>329</v>
      </c>
      <c r="AD3" s="2" t="s">
        <v>333</v>
      </c>
      <c r="AE3" s="12" t="s">
        <v>334</v>
      </c>
      <c r="AF3" s="13" t="s">
        <v>335</v>
      </c>
      <c r="AG3" s="6" t="s">
        <v>336</v>
      </c>
      <c r="AH3" s="13" t="s">
        <v>337</v>
      </c>
      <c r="AI3" s="13" t="s">
        <v>335</v>
      </c>
    </row>
    <row r="4" spans="1:35" ht="81" customHeight="1">
      <c r="A4" s="2" t="s">
        <v>338</v>
      </c>
      <c r="B4" s="2" t="s">
        <v>339</v>
      </c>
      <c r="F4" s="2" t="s">
        <v>340</v>
      </c>
      <c r="H4" s="2" t="s">
        <v>314</v>
      </c>
      <c r="I4" s="2" t="s">
        <v>314</v>
      </c>
      <c r="J4" s="2" t="s">
        <v>314</v>
      </c>
      <c r="K4" s="2" t="s">
        <v>314</v>
      </c>
      <c r="L4" s="2" t="s">
        <v>314</v>
      </c>
      <c r="M4" s="2" t="s">
        <v>314</v>
      </c>
      <c r="N4" s="2" t="s">
        <v>314</v>
      </c>
      <c r="O4" s="2" t="s">
        <v>314</v>
      </c>
      <c r="P4" s="2" t="s">
        <v>314</v>
      </c>
      <c r="Q4" s="2" t="s">
        <v>314</v>
      </c>
      <c r="R4" s="2" t="s">
        <v>314</v>
      </c>
      <c r="S4" s="2" t="s">
        <v>314</v>
      </c>
      <c r="T4" s="2" t="s">
        <v>314</v>
      </c>
      <c r="U4" s="2" t="s">
        <v>314</v>
      </c>
      <c r="V4" s="2" t="s">
        <v>314</v>
      </c>
      <c r="W4" s="2" t="s">
        <v>314</v>
      </c>
      <c r="X4" s="2" t="s">
        <v>314</v>
      </c>
      <c r="Y4" s="2" t="s">
        <v>314</v>
      </c>
      <c r="Z4" s="2" t="s">
        <v>340</v>
      </c>
      <c r="AA4" s="1" t="s">
        <v>341</v>
      </c>
      <c r="AD4" s="11" t="s">
        <v>342</v>
      </c>
      <c r="AE4" s="12" t="s">
        <v>343</v>
      </c>
      <c r="AF4" s="13" t="s">
        <v>344</v>
      </c>
      <c r="AG4" s="13" t="s">
        <v>345</v>
      </c>
      <c r="AH4" s="13" t="s">
        <v>346</v>
      </c>
      <c r="AI4" s="13" t="s">
        <v>344</v>
      </c>
    </row>
    <row r="5" spans="1:35" ht="37">
      <c r="A5" s="2" t="s">
        <v>347</v>
      </c>
      <c r="B5" s="2" t="s">
        <v>348</v>
      </c>
      <c r="H5" s="2" t="s">
        <v>330</v>
      </c>
      <c r="I5" s="2" t="s">
        <v>330</v>
      </c>
      <c r="J5" s="2" t="s">
        <v>330</v>
      </c>
      <c r="K5" s="2" t="s">
        <v>330</v>
      </c>
      <c r="L5" s="2" t="s">
        <v>330</v>
      </c>
      <c r="M5" s="2" t="s">
        <v>330</v>
      </c>
      <c r="N5" s="2" t="s">
        <v>330</v>
      </c>
      <c r="O5" s="2" t="s">
        <v>330</v>
      </c>
      <c r="P5" s="2" t="s">
        <v>330</v>
      </c>
      <c r="Q5" s="2" t="s">
        <v>330</v>
      </c>
      <c r="R5" s="2" t="s">
        <v>330</v>
      </c>
      <c r="S5" s="2" t="s">
        <v>330</v>
      </c>
      <c r="T5" s="2" t="s">
        <v>330</v>
      </c>
      <c r="U5" s="2" t="s">
        <v>330</v>
      </c>
      <c r="V5" s="2" t="s">
        <v>330</v>
      </c>
      <c r="W5" s="2" t="s">
        <v>330</v>
      </c>
      <c r="X5" s="2" t="s">
        <v>330</v>
      </c>
      <c r="Y5" s="2" t="s">
        <v>330</v>
      </c>
      <c r="AA5" s="1" t="s">
        <v>349</v>
      </c>
      <c r="AE5" s="12" t="s">
        <v>350</v>
      </c>
      <c r="AF5" s="2" t="s">
        <v>351</v>
      </c>
      <c r="AH5" s="2" t="s">
        <v>397</v>
      </c>
      <c r="AI5" s="2" t="s">
        <v>397</v>
      </c>
    </row>
    <row r="6" spans="1:35">
      <c r="A6" s="2" t="s">
        <v>352</v>
      </c>
      <c r="B6" s="2" t="s">
        <v>353</v>
      </c>
      <c r="H6" s="2" t="s">
        <v>354</v>
      </c>
      <c r="AF6" s="2" t="s">
        <v>355</v>
      </c>
    </row>
    <row r="7" spans="1:35">
      <c r="A7" s="2" t="s">
        <v>356</v>
      </c>
      <c r="B7" s="2" t="s">
        <v>357</v>
      </c>
      <c r="H7" s="2" t="s">
        <v>358</v>
      </c>
    </row>
    <row r="8" spans="1:35">
      <c r="A8" s="2" t="s">
        <v>359</v>
      </c>
      <c r="B8" s="2" t="s">
        <v>360</v>
      </c>
    </row>
    <row r="9" spans="1:35">
      <c r="A9" s="2" t="s">
        <v>361</v>
      </c>
      <c r="B9" s="2" t="s">
        <v>362</v>
      </c>
      <c r="H9" s="2" t="s">
        <v>363</v>
      </c>
      <c r="J9" s="2" t="s">
        <v>364</v>
      </c>
    </row>
    <row r="10" spans="1:35">
      <c r="A10" s="2" t="s">
        <v>170</v>
      </c>
      <c r="B10" s="2" t="s">
        <v>170</v>
      </c>
      <c r="H10" s="2" t="s">
        <v>365</v>
      </c>
      <c r="J10" s="2" t="s">
        <v>366</v>
      </c>
    </row>
    <row r="14" spans="1:35">
      <c r="A14" s="2" t="s">
        <v>367</v>
      </c>
    </row>
    <row r="15" spans="1:35">
      <c r="A15" s="2" t="s">
        <v>105</v>
      </c>
      <c r="B15" s="2" t="s">
        <v>368</v>
      </c>
      <c r="D15" s="2" t="s">
        <v>369</v>
      </c>
    </row>
    <row r="16" spans="1:35" ht="16">
      <c r="A16" s="5" t="s">
        <v>370</v>
      </c>
      <c r="B16" s="2" t="s">
        <v>371</v>
      </c>
      <c r="D16" s="2" t="s">
        <v>372</v>
      </c>
    </row>
    <row r="17" spans="1:4" ht="16">
      <c r="A17" s="5" t="s">
        <v>373</v>
      </c>
      <c r="B17" s="2" t="s">
        <v>374</v>
      </c>
      <c r="D17" s="2" t="s">
        <v>375</v>
      </c>
    </row>
    <row r="18" spans="1:4" ht="16">
      <c r="A18" s="5" t="s">
        <v>376</v>
      </c>
      <c r="D18" s="2" t="s">
        <v>377</v>
      </c>
    </row>
    <row r="19" spans="1:4" ht="16">
      <c r="A19" s="5" t="s">
        <v>378</v>
      </c>
    </row>
    <row r="20" spans="1:4" ht="16">
      <c r="A20" s="5" t="s">
        <v>379</v>
      </c>
      <c r="B20" s="2" t="s">
        <v>316</v>
      </c>
      <c r="C20" s="2" t="s">
        <v>380</v>
      </c>
    </row>
    <row r="21" spans="1:4" ht="16">
      <c r="A21" s="5" t="s">
        <v>381</v>
      </c>
      <c r="B21" s="2" t="s">
        <v>382</v>
      </c>
      <c r="C21" s="2" t="s">
        <v>383</v>
      </c>
    </row>
    <row r="22" spans="1:4" ht="16">
      <c r="A22" s="5" t="s">
        <v>293</v>
      </c>
    </row>
    <row r="23" spans="1:4" ht="16">
      <c r="A23" s="5" t="s">
        <v>384</v>
      </c>
    </row>
    <row r="24" spans="1:4" ht="16">
      <c r="A24" s="5" t="s">
        <v>385</v>
      </c>
    </row>
    <row r="25" spans="1:4" ht="16">
      <c r="A25" s="5" t="s">
        <v>386</v>
      </c>
    </row>
    <row r="26" spans="1:4" ht="16">
      <c r="A26" s="5" t="s">
        <v>387</v>
      </c>
    </row>
    <row r="27" spans="1:4" ht="16">
      <c r="A27" s="5" t="s">
        <v>170</v>
      </c>
    </row>
    <row r="32" spans="1:4">
      <c r="A32" s="2" t="s">
        <v>183</v>
      </c>
    </row>
    <row r="33" spans="1:3">
      <c r="A33" s="2" t="s">
        <v>388</v>
      </c>
      <c r="C33" s="2" t="s">
        <v>379</v>
      </c>
    </row>
    <row r="34" spans="1:3">
      <c r="A34" s="2" t="s">
        <v>389</v>
      </c>
      <c r="C34" s="2" t="s">
        <v>370</v>
      </c>
    </row>
    <row r="35" spans="1:3">
      <c r="A35" s="2" t="s">
        <v>390</v>
      </c>
      <c r="B35" s="2" t="s">
        <v>311</v>
      </c>
      <c r="C35" s="2" t="s">
        <v>378</v>
      </c>
    </row>
    <row r="36" spans="1:3">
      <c r="A36" s="2" t="s">
        <v>391</v>
      </c>
      <c r="B36" s="2" t="s">
        <v>326</v>
      </c>
      <c r="C36" s="2" t="s">
        <v>392</v>
      </c>
    </row>
    <row r="37" spans="1:3">
      <c r="C37" s="2" t="s">
        <v>170</v>
      </c>
    </row>
    <row r="38" spans="1:3">
      <c r="A38" s="2" t="s">
        <v>393</v>
      </c>
    </row>
    <row r="39" spans="1:3">
      <c r="A39" s="2" t="s">
        <v>394</v>
      </c>
    </row>
    <row r="41" spans="1:3">
      <c r="A41" s="2" t="s">
        <v>370</v>
      </c>
    </row>
    <row r="42" spans="1:3">
      <c r="A42" s="2" t="s">
        <v>376</v>
      </c>
    </row>
    <row r="43" spans="1:3">
      <c r="A43" s="3" t="s">
        <v>373</v>
      </c>
    </row>
    <row r="44" spans="1:3">
      <c r="A44" s="2" t="s">
        <v>378</v>
      </c>
    </row>
    <row r="45" spans="1:3">
      <c r="A45" s="2" t="s">
        <v>379</v>
      </c>
    </row>
    <row r="46" spans="1:3">
      <c r="A46" s="2" t="s">
        <v>381</v>
      </c>
    </row>
    <row r="47" spans="1:3">
      <c r="A47" s="2" t="s">
        <v>385</v>
      </c>
    </row>
    <row r="48" spans="1:3">
      <c r="A48" s="2" t="s">
        <v>170</v>
      </c>
    </row>
    <row r="51" spans="1:1">
      <c r="A51" s="2" t="s">
        <v>395</v>
      </c>
    </row>
    <row r="52" spans="1:1">
      <c r="A52" s="2" t="s">
        <v>396</v>
      </c>
    </row>
    <row r="53" spans="1:1">
      <c r="A53" s="2" t="s">
        <v>397</v>
      </c>
    </row>
    <row r="55" spans="1:1">
      <c r="A55" s="2" t="s">
        <v>83</v>
      </c>
    </row>
    <row r="56" spans="1:1">
      <c r="A56" s="2" t="s">
        <v>84</v>
      </c>
    </row>
    <row r="57" spans="1:1">
      <c r="A57" s="2" t="s">
        <v>85</v>
      </c>
    </row>
    <row r="58" spans="1:1">
      <c r="A58" s="2" t="s">
        <v>86</v>
      </c>
    </row>
    <row r="59" spans="1:1">
      <c r="A59" s="2" t="s">
        <v>87</v>
      </c>
    </row>
    <row r="62" spans="1:1">
      <c r="A62" s="2" t="s">
        <v>398</v>
      </c>
    </row>
    <row r="63" spans="1:1">
      <c r="A63" s="2" t="s">
        <v>399</v>
      </c>
    </row>
    <row r="66" spans="1:1">
      <c r="A66" s="2" t="s">
        <v>400</v>
      </c>
    </row>
    <row r="67" spans="1:1">
      <c r="A67" s="2" t="s">
        <v>401</v>
      </c>
    </row>
    <row r="68" spans="1:1">
      <c r="A68" s="2" t="s">
        <v>402</v>
      </c>
    </row>
    <row r="69" spans="1:1">
      <c r="A69" s="2" t="s">
        <v>403</v>
      </c>
    </row>
    <row r="70" spans="1:1">
      <c r="A70" s="2" t="s">
        <v>404</v>
      </c>
    </row>
    <row r="71" spans="1:1">
      <c r="A71" s="2" t="s">
        <v>405</v>
      </c>
    </row>
    <row r="72" spans="1:1">
      <c r="A72" s="2" t="s">
        <v>406</v>
      </c>
    </row>
    <row r="73" spans="1:1">
      <c r="A73" s="2" t="s">
        <v>407</v>
      </c>
    </row>
    <row r="74" spans="1:1">
      <c r="A74" s="2" t="s">
        <v>408</v>
      </c>
    </row>
    <row r="75" spans="1:1">
      <c r="A75" s="2" t="s">
        <v>409</v>
      </c>
    </row>
    <row r="76" spans="1:1">
      <c r="A76" s="2" t="s">
        <v>410</v>
      </c>
    </row>
    <row r="77" spans="1:1">
      <c r="A77" s="2" t="s">
        <v>411</v>
      </c>
    </row>
    <row r="78" spans="1:1">
      <c r="A78" s="2" t="s">
        <v>412</v>
      </c>
    </row>
    <row r="79" spans="1:1">
      <c r="A79" s="2" t="s">
        <v>413</v>
      </c>
    </row>
    <row r="80" spans="1:1">
      <c r="A80" s="2" t="s">
        <v>414</v>
      </c>
    </row>
    <row r="81" spans="1:1">
      <c r="A81" s="2" t="s">
        <v>415</v>
      </c>
    </row>
    <row r="82" spans="1:1">
      <c r="A82" s="2" t="s">
        <v>416</v>
      </c>
    </row>
    <row r="83" spans="1:1">
      <c r="A83" s="2" t="s">
        <v>417</v>
      </c>
    </row>
    <row r="84" spans="1:1">
      <c r="A84" s="2" t="s">
        <v>418</v>
      </c>
    </row>
    <row r="85" spans="1:1">
      <c r="A85" s="2" t="s">
        <v>419</v>
      </c>
    </row>
    <row r="86" spans="1:1">
      <c r="A86" s="2" t="s">
        <v>420</v>
      </c>
    </row>
    <row r="87" spans="1:1">
      <c r="A87" s="2" t="s">
        <v>421</v>
      </c>
    </row>
    <row r="88" spans="1:1">
      <c r="A88" s="2" t="s">
        <v>422</v>
      </c>
    </row>
    <row r="89" spans="1:1">
      <c r="A89" s="2" t="s">
        <v>423</v>
      </c>
    </row>
    <row r="90" spans="1:1">
      <c r="A90" s="2" t="s">
        <v>424</v>
      </c>
    </row>
    <row r="91" spans="1:1">
      <c r="A91" s="2" t="s">
        <v>425</v>
      </c>
    </row>
    <row r="92" spans="1:1">
      <c r="A92" s="2" t="s">
        <v>426</v>
      </c>
    </row>
    <row r="93" spans="1:1">
      <c r="A93" s="2" t="s">
        <v>427</v>
      </c>
    </row>
    <row r="94" spans="1:1">
      <c r="A94" s="2" t="s">
        <v>428</v>
      </c>
    </row>
    <row r="95" spans="1:1">
      <c r="A95" s="2" t="s">
        <v>429</v>
      </c>
    </row>
    <row r="96" spans="1:1">
      <c r="A96" s="2" t="s">
        <v>430</v>
      </c>
    </row>
    <row r="97" spans="1:1">
      <c r="A97" s="2" t="s">
        <v>431</v>
      </c>
    </row>
    <row r="98" spans="1:1">
      <c r="A98" s="2" t="s">
        <v>432</v>
      </c>
    </row>
    <row r="99" spans="1:1">
      <c r="A99" s="2" t="s">
        <v>433</v>
      </c>
    </row>
    <row r="100" spans="1:1">
      <c r="A100" s="2" t="s">
        <v>434</v>
      </c>
    </row>
    <row r="101" spans="1:1">
      <c r="A101" s="2" t="s">
        <v>435</v>
      </c>
    </row>
    <row r="102" spans="1:1">
      <c r="A102" s="2" t="s">
        <v>436</v>
      </c>
    </row>
    <row r="103" spans="1:1">
      <c r="A103" s="2" t="s">
        <v>437</v>
      </c>
    </row>
    <row r="104" spans="1:1">
      <c r="A104" s="2" t="s">
        <v>438</v>
      </c>
    </row>
    <row r="105" spans="1:1">
      <c r="A105" s="2" t="s">
        <v>439</v>
      </c>
    </row>
    <row r="106" spans="1:1">
      <c r="A106" s="2" t="s">
        <v>440</v>
      </c>
    </row>
    <row r="107" spans="1:1">
      <c r="A107" s="2" t="s">
        <v>441</v>
      </c>
    </row>
    <row r="108" spans="1:1">
      <c r="A108" s="2" t="s">
        <v>442</v>
      </c>
    </row>
    <row r="109" spans="1:1">
      <c r="A109" s="2" t="s">
        <v>443</v>
      </c>
    </row>
    <row r="110" spans="1:1">
      <c r="A110" s="2" t="s">
        <v>444</v>
      </c>
    </row>
    <row r="111" spans="1:1">
      <c r="A111" s="2" t="s">
        <v>445</v>
      </c>
    </row>
    <row r="112" spans="1:1">
      <c r="A112" s="2" t="s">
        <v>446</v>
      </c>
    </row>
    <row r="113" spans="1:1">
      <c r="A113" s="2" t="s">
        <v>447</v>
      </c>
    </row>
    <row r="114" spans="1:1">
      <c r="A114" s="2" t="s">
        <v>448</v>
      </c>
    </row>
    <row r="115" spans="1:1">
      <c r="A115" s="2" t="s">
        <v>449</v>
      </c>
    </row>
    <row r="116" spans="1:1">
      <c r="A116" s="2" t="s">
        <v>450</v>
      </c>
    </row>
    <row r="117" spans="1:1">
      <c r="A117" s="2" t="s">
        <v>451</v>
      </c>
    </row>
    <row r="118" spans="1:1">
      <c r="A118" s="2" t="s">
        <v>452</v>
      </c>
    </row>
    <row r="119" spans="1:1">
      <c r="A119" s="2" t="s">
        <v>453</v>
      </c>
    </row>
    <row r="120" spans="1:1">
      <c r="A120" s="2" t="s">
        <v>454</v>
      </c>
    </row>
    <row r="121" spans="1:1">
      <c r="A121" s="2" t="s">
        <v>454</v>
      </c>
    </row>
    <row r="122" spans="1:1">
      <c r="A122" s="2" t="s">
        <v>455</v>
      </c>
    </row>
    <row r="123" spans="1:1">
      <c r="A123" s="2" t="s">
        <v>456</v>
      </c>
    </row>
    <row r="124" spans="1:1">
      <c r="A124" s="2" t="s">
        <v>457</v>
      </c>
    </row>
    <row r="125" spans="1:1">
      <c r="A125" s="2" t="s">
        <v>458</v>
      </c>
    </row>
    <row r="126" spans="1:1">
      <c r="A126" s="2" t="s">
        <v>459</v>
      </c>
    </row>
    <row r="127" spans="1:1">
      <c r="A127" s="2" t="s">
        <v>460</v>
      </c>
    </row>
    <row r="128" spans="1:1">
      <c r="A128" s="2" t="s">
        <v>461</v>
      </c>
    </row>
    <row r="129" spans="1:1">
      <c r="A129" s="2" t="s">
        <v>462</v>
      </c>
    </row>
    <row r="130" spans="1:1">
      <c r="A130" s="2" t="s">
        <v>463</v>
      </c>
    </row>
    <row r="131" spans="1:1">
      <c r="A131" s="2" t="s">
        <v>464</v>
      </c>
    </row>
    <row r="132" spans="1:1">
      <c r="A132" s="2" t="s">
        <v>465</v>
      </c>
    </row>
    <row r="133" spans="1:1">
      <c r="A133" s="2" t="s">
        <v>466</v>
      </c>
    </row>
    <row r="134" spans="1:1">
      <c r="A134" s="2" t="s">
        <v>467</v>
      </c>
    </row>
  </sheetData>
  <sortState xmlns:xlrd2="http://schemas.microsoft.com/office/spreadsheetml/2017/richdata2" ref="A66:A134">
    <sortCondition ref="A134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RNumber xmlns="58c5a368-91fd-49de-a507-0162f9afeb25">R0000662043</R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gramme Document" ma:contentTypeID="0x010100BBEA5E54B63E874B8AEF69A53612516F0200A9F48C8D21B56A4EB927CA574483A93B" ma:contentTypeVersion="8" ma:contentTypeDescription="" ma:contentTypeScope="" ma:versionID="69bb7b2ba5e4a6301a235dae9b2e78d8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610241fe387c09df8c00ae7056aef701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RNumber" minOccurs="0"/>
                <xsd:element ref="ns4:IconOverlay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RNumber" ma:index="9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B0643-BFBD-403C-BA40-3123C6445A0C}"/>
</file>

<file path=customXml/itemProps2.xml><?xml version="1.0" encoding="utf-8"?>
<ds:datastoreItem xmlns:ds="http://schemas.openxmlformats.org/officeDocument/2006/customXml" ds:itemID="{31F0E56A-A048-4A9E-8ECD-991838A3A16A}"/>
</file>

<file path=customXml/itemProps3.xml><?xml version="1.0" encoding="utf-8"?>
<ds:datastoreItem xmlns:ds="http://schemas.openxmlformats.org/officeDocument/2006/customXml" ds:itemID="{62342E5B-4F3B-4BE1-9470-9260045E5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Adrodd</vt:lpstr>
      <vt:lpstr>Cyflwyniad</vt:lpstr>
      <vt:lpstr>Diffiniad Cyffredinol</vt:lpstr>
      <vt:lpstr>Effaith firws corona</vt:lpstr>
      <vt:lpstr>Arddangosfeydd</vt:lpstr>
      <vt:lpstr>CH&amp;YP Gweithgaredd</vt:lpstr>
      <vt:lpstr>Ymgyfranogi Cyffredinol</vt:lpstr>
      <vt:lpstr>PerfformioTeithio</vt:lpstr>
      <vt:lpstr>Darllediadau ac Ar-lein</vt:lpstr>
      <vt:lpstr>Ffilm</vt:lpstr>
      <vt:lpstr>Gwefan&amp;Chyfryngau Cymdeithasol</vt:lpstr>
      <vt:lpstr>Lleoliadau Cyflwyno</vt:lpstr>
      <vt:lpstr>Hyfforddiant &amp; Gweithdai</vt:lpstr>
      <vt:lpstr>Tenantiaid&amp;Preswyliaeth Artist</vt:lpstr>
      <vt:lpstr>Sgwrsiau&amp;Sesiynau holi ac ateb</vt:lpstr>
      <vt:lpstr>Perfformiad amgylcheddol</vt:lpstr>
      <vt:lpstr>Ref.</vt:lpstr>
    </vt:vector>
  </TitlesOfParts>
  <Manager/>
  <Company>Arts Council of Wales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for APW Reporting</dc:title>
  <dc:subject/>
  <dc:creator>Chris Batsford</dc:creator>
  <cp:keywords/>
  <dc:description/>
  <cp:lastModifiedBy>Iona Lamy-Yang</cp:lastModifiedBy>
  <cp:revision/>
  <dcterms:created xsi:type="dcterms:W3CDTF">2019-02-28T09:43:49Z</dcterms:created>
  <dcterms:modified xsi:type="dcterms:W3CDTF">2022-10-04T14:52:16Z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0x010100BBEA5E54B63E874B8AEF69A53612516F0200A9F48C8D21B56A4EB927CA574483A93B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{12f75d3f-0e36-4320-99a7-716dbb100ef4}</vt:lpwstr>
  </property>
  <property fmtid="{D5CDD505-2E9C-101B-9397-08002B2CF9AE}" pid="5" name="RecordPoint_ActiveItemListId">
    <vt:lpwstr>{616ca176-b3ff-43de-963c-ecf82f28ead2}</vt:lpwstr>
  </property>
  <property fmtid="{D5CDD505-2E9C-101B-9397-08002B2CF9AE}" pid="6" name="RecordPoint_ActiveItemUniqueId">
    <vt:lpwstr>{959d7435-f62d-45d3-972c-c1bdd1266651}</vt:lpwstr>
  </property>
  <property fmtid="{D5CDD505-2E9C-101B-9397-08002B2CF9AE}" pid="7" name="RecordPoint_ActiveItemWebId">
    <vt:lpwstr>{bbb41bd5-ccbe-4fc9-b0b6-26c84b87e541}</vt:lpwstr>
  </property>
  <property fmtid="{D5CDD505-2E9C-101B-9397-08002B2CF9AE}" pid="8" name="RecordPoint_RecordNumberSubmitted">
    <vt:lpwstr>R0000662043</vt:lpwstr>
  </property>
  <property fmtid="{D5CDD505-2E9C-101B-9397-08002B2CF9AE}" pid="9" name="RecordPoint_SubmissionCompleted">
    <vt:lpwstr>2022-10-04T15:52:33.4790169+01:00</vt:lpwstr>
  </property>
  <property fmtid="{D5CDD505-2E9C-101B-9397-08002B2CF9AE}" pid="10" name="RecordPoint_SubmissionDate">
    <vt:lpwstr/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</Properties>
</file>